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lculation\Hydraulic Calculations\Standpipe\Final\FINAL\"/>
    </mc:Choice>
  </mc:AlternateContent>
  <xr:revisionPtr revIDLastSave="0" documentId="8_{80E09912-69AB-4AF8-807E-1BDE781CCB23}" xr6:coauthVersionLast="47" xr6:coauthVersionMax="47" xr10:uidLastSave="{00000000-0000-0000-0000-000000000000}"/>
  <bookViews>
    <workbookView xWindow="14244" yWindow="1404" windowWidth="22488" windowHeight="14268" xr2:uid="{3D083F04-1F19-45F0-B9D1-D2CE206F8E19}"/>
  </bookViews>
  <sheets>
    <sheet name="Hydraulic Calculation" sheetId="1" r:id="rId1"/>
    <sheet name="Equivalent Length" sheetId="2" r:id="rId2"/>
    <sheet name="Multipliers" sheetId="3" r:id="rId3"/>
  </sheets>
  <definedNames>
    <definedName name="CMNTLND52">'Hydraulic Calculation'!$AE$58:$AE$63</definedName>
    <definedName name="Schedule10">'Hydraulic Calculation'!$S$58:$S$70</definedName>
    <definedName name="Schedule30">'Hydraulic Calculation'!$V$58:$V$59</definedName>
    <definedName name="Schedule40">'Hydraulic Calculation'!$Y$58:$Y$70</definedName>
    <definedName name="Schedule80">'Hydraulic Calculation'!$AB$58:$AB$70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D21" i="1" s="1"/>
  <c r="D24" i="1" s="1"/>
  <c r="D27" i="1" s="1"/>
  <c r="D30" i="1" s="1"/>
  <c r="D33" i="1" s="1"/>
  <c r="D36" i="1" s="1"/>
  <c r="D39" i="1" s="1"/>
  <c r="D42" i="1" s="1"/>
  <c r="D45" i="1" s="1"/>
  <c r="D48" i="1" s="1"/>
  <c r="K49" i="1"/>
  <c r="K46" i="1"/>
  <c r="K43" i="1"/>
  <c r="K40" i="1"/>
  <c r="K37" i="1"/>
  <c r="K34" i="1"/>
  <c r="K31" i="1"/>
  <c r="I48" i="1"/>
  <c r="I45" i="1"/>
  <c r="I42" i="1"/>
  <c r="M51" i="2"/>
  <c r="I52" i="2"/>
  <c r="Q52" i="2"/>
  <c r="M53" i="2"/>
  <c r="I54" i="2"/>
  <c r="Q54" i="2"/>
  <c r="M55" i="2"/>
  <c r="I56" i="2"/>
  <c r="Q56" i="2"/>
  <c r="M57" i="2"/>
  <c r="I58" i="2"/>
  <c r="Q58" i="2"/>
  <c r="H56" i="2"/>
  <c r="Q47" i="1"/>
  <c r="Q44" i="1"/>
  <c r="Q41" i="1"/>
  <c r="Q32" i="1"/>
  <c r="Q17" i="1"/>
  <c r="Q14" i="1"/>
  <c r="K47" i="1"/>
  <c r="K44" i="1"/>
  <c r="K41" i="1"/>
  <c r="K32" i="1"/>
  <c r="K21" i="1"/>
  <c r="L21" i="1"/>
  <c r="M21" i="1"/>
  <c r="N21" i="1"/>
  <c r="O21" i="1"/>
  <c r="P21" i="1"/>
  <c r="K24" i="1"/>
  <c r="L24" i="1"/>
  <c r="M24" i="1"/>
  <c r="N24" i="1"/>
  <c r="O24" i="1"/>
  <c r="P24" i="1"/>
  <c r="K27" i="1"/>
  <c r="L27" i="1"/>
  <c r="M27" i="1"/>
  <c r="N27" i="1"/>
  <c r="O27" i="1"/>
  <c r="P27" i="1"/>
  <c r="K30" i="1"/>
  <c r="L30" i="1"/>
  <c r="M30" i="1"/>
  <c r="N30" i="1"/>
  <c r="O30" i="1"/>
  <c r="P30" i="1"/>
  <c r="K33" i="1"/>
  <c r="L33" i="1"/>
  <c r="M33" i="1"/>
  <c r="N33" i="1"/>
  <c r="O33" i="1"/>
  <c r="P33" i="1"/>
  <c r="K36" i="1"/>
  <c r="L36" i="1"/>
  <c r="M36" i="1"/>
  <c r="N36" i="1"/>
  <c r="O36" i="1"/>
  <c r="P36" i="1"/>
  <c r="K39" i="1"/>
  <c r="L39" i="1"/>
  <c r="M39" i="1"/>
  <c r="N39" i="1"/>
  <c r="O39" i="1"/>
  <c r="P39" i="1"/>
  <c r="K42" i="1"/>
  <c r="L42" i="1"/>
  <c r="M42" i="1"/>
  <c r="N42" i="1"/>
  <c r="O42" i="1"/>
  <c r="P42" i="1"/>
  <c r="K45" i="1"/>
  <c r="L45" i="1"/>
  <c r="M45" i="1"/>
  <c r="N45" i="1"/>
  <c r="O45" i="1"/>
  <c r="P45" i="1"/>
  <c r="K48" i="1"/>
  <c r="L48" i="1"/>
  <c r="M48" i="1"/>
  <c r="N48" i="1"/>
  <c r="O48" i="1"/>
  <c r="P48" i="1"/>
  <c r="K15" i="1"/>
  <c r="L15" i="1"/>
  <c r="M15" i="1"/>
  <c r="N15" i="1"/>
  <c r="O15" i="1"/>
  <c r="P15" i="1"/>
  <c r="P18" i="1"/>
  <c r="O18" i="1"/>
  <c r="N18" i="1"/>
  <c r="M18" i="1"/>
  <c r="L18" i="1"/>
  <c r="K18" i="1"/>
  <c r="H43" i="2"/>
  <c r="E60" i="2"/>
  <c r="I47" i="2"/>
  <c r="J47" i="2"/>
  <c r="K47" i="2"/>
  <c r="L47" i="2"/>
  <c r="M47" i="2"/>
  <c r="N47" i="2"/>
  <c r="O47" i="2"/>
  <c r="P47" i="2"/>
  <c r="Q47" i="2"/>
  <c r="R47" i="2"/>
  <c r="S47" i="2"/>
  <c r="T47" i="2"/>
  <c r="H47" i="2"/>
  <c r="I46" i="2"/>
  <c r="J46" i="2"/>
  <c r="K46" i="2"/>
  <c r="L46" i="2"/>
  <c r="M46" i="2"/>
  <c r="N46" i="2"/>
  <c r="O46" i="2"/>
  <c r="P46" i="2"/>
  <c r="Q46" i="2"/>
  <c r="R46" i="2"/>
  <c r="S46" i="2"/>
  <c r="T46" i="2"/>
  <c r="H46" i="2"/>
  <c r="I45" i="2"/>
  <c r="I51" i="2" s="1"/>
  <c r="J45" i="2"/>
  <c r="J51" i="2" s="1"/>
  <c r="K45" i="2"/>
  <c r="K51" i="2" s="1"/>
  <c r="L45" i="2"/>
  <c r="L51" i="2" s="1"/>
  <c r="M45" i="2"/>
  <c r="M52" i="2" s="1"/>
  <c r="N45" i="2"/>
  <c r="N52" i="2" s="1"/>
  <c r="O45" i="2"/>
  <c r="O52" i="2" s="1"/>
  <c r="P45" i="2"/>
  <c r="P52" i="2" s="1"/>
  <c r="Q45" i="2"/>
  <c r="Q51" i="2" s="1"/>
  <c r="R45" i="2"/>
  <c r="R51" i="2" s="1"/>
  <c r="S45" i="2"/>
  <c r="S51" i="2" s="1"/>
  <c r="T45" i="2"/>
  <c r="T51" i="2" s="1"/>
  <c r="H45" i="2"/>
  <c r="H52" i="2" s="1"/>
  <c r="I44" i="2"/>
  <c r="J44" i="2"/>
  <c r="K44" i="2"/>
  <c r="L44" i="2"/>
  <c r="M44" i="2"/>
  <c r="N44" i="2"/>
  <c r="O44" i="2"/>
  <c r="P44" i="2"/>
  <c r="Q44" i="2"/>
  <c r="R44" i="2"/>
  <c r="S44" i="2"/>
  <c r="T44" i="2"/>
  <c r="H44" i="2"/>
  <c r="I43" i="2"/>
  <c r="J43" i="2"/>
  <c r="K43" i="2"/>
  <c r="L43" i="2"/>
  <c r="M43" i="2"/>
  <c r="N43" i="2"/>
  <c r="O43" i="2"/>
  <c r="P43" i="2"/>
  <c r="Q43" i="2"/>
  <c r="R43" i="2"/>
  <c r="S43" i="2"/>
  <c r="T43" i="2"/>
  <c r="J14" i="1"/>
  <c r="D14" i="1"/>
  <c r="D15" i="1" s="1"/>
  <c r="C19" i="3"/>
  <c r="F48" i="1"/>
  <c r="F45" i="1"/>
  <c r="F42" i="1"/>
  <c r="F39" i="1"/>
  <c r="F36" i="1"/>
  <c r="J48" i="1"/>
  <c r="Q48" i="1" s="1"/>
  <c r="H48" i="1"/>
  <c r="H49" i="1" s="1"/>
  <c r="J45" i="1"/>
  <c r="Q45" i="1" s="1"/>
  <c r="H45" i="1"/>
  <c r="H46" i="1" s="1"/>
  <c r="J42" i="1"/>
  <c r="Q42" i="1" s="1"/>
  <c r="H42" i="1"/>
  <c r="H43" i="1" s="1"/>
  <c r="J39" i="1"/>
  <c r="Q39" i="1" s="1"/>
  <c r="H39" i="1"/>
  <c r="H40" i="1" s="1"/>
  <c r="J36" i="1"/>
  <c r="Q36" i="1" s="1"/>
  <c r="H36" i="1"/>
  <c r="H37" i="1" s="1"/>
  <c r="F33" i="1"/>
  <c r="J33" i="1"/>
  <c r="Q33" i="1" s="1"/>
  <c r="H33" i="1"/>
  <c r="H34" i="1" s="1"/>
  <c r="F30" i="1"/>
  <c r="J30" i="1"/>
  <c r="Q30" i="1" s="1"/>
  <c r="H30" i="1"/>
  <c r="H31" i="1" s="1"/>
  <c r="F24" i="1"/>
  <c r="F27" i="1"/>
  <c r="J27" i="1"/>
  <c r="H27" i="1"/>
  <c r="H28" i="1" s="1"/>
  <c r="F21" i="1"/>
  <c r="F18" i="1"/>
  <c r="J24" i="1"/>
  <c r="Q24" i="1" s="1"/>
  <c r="H24" i="1"/>
  <c r="H25" i="1" s="1"/>
  <c r="J21" i="1"/>
  <c r="H21" i="1"/>
  <c r="H22" i="1" s="1"/>
  <c r="J18" i="1"/>
  <c r="Q18" i="1" s="1"/>
  <c r="H18" i="1"/>
  <c r="H19" i="1" s="1"/>
  <c r="F15" i="1"/>
  <c r="J15" i="1"/>
  <c r="Q15" i="1" s="1"/>
  <c r="H15" i="1"/>
  <c r="H16" i="1" s="1"/>
  <c r="K28" i="1" l="1"/>
  <c r="K25" i="1"/>
  <c r="K22" i="1"/>
  <c r="K19" i="1"/>
  <c r="K16" i="1"/>
  <c r="I18" i="1"/>
  <c r="I21" i="1"/>
  <c r="Q29" i="1"/>
  <c r="K29" i="1"/>
  <c r="K35" i="1"/>
  <c r="Q35" i="1"/>
  <c r="K38" i="1"/>
  <c r="Q38" i="1"/>
  <c r="Q27" i="1"/>
  <c r="H51" i="2"/>
  <c r="H62" i="2" s="1"/>
  <c r="T58" i="2"/>
  <c r="T69" i="2" s="1"/>
  <c r="L58" i="2"/>
  <c r="P57" i="2"/>
  <c r="T56" i="2"/>
  <c r="L56" i="2"/>
  <c r="P55" i="2"/>
  <c r="T54" i="2"/>
  <c r="L54" i="2"/>
  <c r="P53" i="2"/>
  <c r="T52" i="2"/>
  <c r="L52" i="2"/>
  <c r="P51" i="2"/>
  <c r="H58" i="2"/>
  <c r="S58" i="2"/>
  <c r="S69" i="2" s="1"/>
  <c r="K58" i="2"/>
  <c r="O57" i="2"/>
  <c r="O68" i="2" s="1"/>
  <c r="S56" i="2"/>
  <c r="S67" i="2" s="1"/>
  <c r="K56" i="2"/>
  <c r="O55" i="2"/>
  <c r="S54" i="2"/>
  <c r="K54" i="2"/>
  <c r="O53" i="2"/>
  <c r="O64" i="2" s="1"/>
  <c r="S52" i="2"/>
  <c r="K52" i="2"/>
  <c r="K63" i="2" s="1"/>
  <c r="O51" i="2"/>
  <c r="O62" i="2" s="1"/>
  <c r="H57" i="2"/>
  <c r="R58" i="2"/>
  <c r="J58" i="2"/>
  <c r="N57" i="2"/>
  <c r="R56" i="2"/>
  <c r="J56" i="2"/>
  <c r="N55" i="2"/>
  <c r="N66" i="2" s="1"/>
  <c r="R54" i="2"/>
  <c r="R65" i="2" s="1"/>
  <c r="J54" i="2"/>
  <c r="N53" i="2"/>
  <c r="R52" i="2"/>
  <c r="J52" i="2"/>
  <c r="N51" i="2"/>
  <c r="H55" i="2"/>
  <c r="P58" i="2"/>
  <c r="T57" i="2"/>
  <c r="L57" i="2"/>
  <c r="P56" i="2"/>
  <c r="T55" i="2"/>
  <c r="L55" i="2"/>
  <c r="P54" i="2"/>
  <c r="T53" i="2"/>
  <c r="L53" i="2"/>
  <c r="L64" i="2" s="1"/>
  <c r="H54" i="2"/>
  <c r="O58" i="2"/>
  <c r="S57" i="2"/>
  <c r="K57" i="2"/>
  <c r="O56" i="2"/>
  <c r="S55" i="2"/>
  <c r="S66" i="2" s="1"/>
  <c r="K55" i="2"/>
  <c r="O54" i="2"/>
  <c r="S53" i="2"/>
  <c r="S64" i="2" s="1"/>
  <c r="K53" i="2"/>
  <c r="H53" i="2"/>
  <c r="N58" i="2"/>
  <c r="R57" i="2"/>
  <c r="J57" i="2"/>
  <c r="N56" i="2"/>
  <c r="R55" i="2"/>
  <c r="J55" i="2"/>
  <c r="N54" i="2"/>
  <c r="R53" i="2"/>
  <c r="J53" i="2"/>
  <c r="I62" i="2"/>
  <c r="M58" i="2"/>
  <c r="Q57" i="2"/>
  <c r="I57" i="2"/>
  <c r="I68" i="2" s="1"/>
  <c r="M56" i="2"/>
  <c r="M67" i="2" s="1"/>
  <c r="Q55" i="2"/>
  <c r="I55" i="2"/>
  <c r="M54" i="2"/>
  <c r="Q53" i="2"/>
  <c r="I53" i="2"/>
  <c r="K26" i="1"/>
  <c r="Q26" i="1"/>
  <c r="Q23" i="1"/>
  <c r="K23" i="1"/>
  <c r="K20" i="1"/>
  <c r="Q20" i="1"/>
  <c r="Q21" i="1"/>
  <c r="K17" i="1"/>
  <c r="K14" i="1"/>
  <c r="T67" i="2"/>
  <c r="L67" i="2"/>
  <c r="T65" i="2"/>
  <c r="L65" i="2"/>
  <c r="P64" i="2"/>
  <c r="T63" i="2"/>
  <c r="P62" i="2"/>
  <c r="L69" i="2"/>
  <c r="K67" i="2"/>
  <c r="S65" i="2"/>
  <c r="K65" i="2"/>
  <c r="S63" i="2"/>
  <c r="M68" i="2"/>
  <c r="I67" i="2"/>
  <c r="M66" i="2"/>
  <c r="Q65" i="2"/>
  <c r="I65" i="2"/>
  <c r="Q63" i="2"/>
  <c r="I63" i="2"/>
  <c r="H69" i="2"/>
  <c r="K69" i="2"/>
  <c r="H67" i="2"/>
  <c r="I69" i="2"/>
  <c r="L68" i="2"/>
  <c r="T66" i="2"/>
  <c r="L66" i="2"/>
  <c r="T64" i="2"/>
  <c r="T62" i="2"/>
  <c r="H66" i="2"/>
  <c r="P69" i="2"/>
  <c r="T68" i="2"/>
  <c r="K68" i="2"/>
  <c r="O67" i="2"/>
  <c r="K66" i="2"/>
  <c r="K64" i="2"/>
  <c r="S62" i="2"/>
  <c r="H65" i="2"/>
  <c r="O69" i="2"/>
  <c r="P63" i="2"/>
  <c r="S68" i="2"/>
  <c r="Q67" i="2"/>
  <c r="P66" i="2"/>
  <c r="P65" i="2"/>
  <c r="O63" i="2"/>
  <c r="M62" i="2"/>
  <c r="Q69" i="2"/>
  <c r="P68" i="2"/>
  <c r="P67" i="2"/>
  <c r="O66" i="2"/>
  <c r="O65" i="2"/>
  <c r="M64" i="2"/>
  <c r="L63" i="2"/>
  <c r="L62" i="2"/>
  <c r="H68" i="2"/>
  <c r="R69" i="2"/>
  <c r="J69" i="2"/>
  <c r="N68" i="2"/>
  <c r="R67" i="2"/>
  <c r="J67" i="2"/>
  <c r="J65" i="2"/>
  <c r="N64" i="2"/>
  <c r="R63" i="2"/>
  <c r="J63" i="2"/>
  <c r="N62" i="2"/>
  <c r="K62" i="2"/>
  <c r="H64" i="2"/>
  <c r="N69" i="2"/>
  <c r="R68" i="2"/>
  <c r="J68" i="2"/>
  <c r="N67" i="2"/>
  <c r="R66" i="2"/>
  <c r="J66" i="2"/>
  <c r="N65" i="2"/>
  <c r="R64" i="2"/>
  <c r="J64" i="2"/>
  <c r="N63" i="2"/>
  <c r="R62" i="2"/>
  <c r="J62" i="2"/>
  <c r="H63" i="2"/>
  <c r="M69" i="2"/>
  <c r="Q68" i="2"/>
  <c r="Q66" i="2"/>
  <c r="I66" i="2"/>
  <c r="M65" i="2"/>
  <c r="Q64" i="2"/>
  <c r="I64" i="2"/>
  <c r="M63" i="2"/>
  <c r="Q62" i="2"/>
  <c r="I30" i="1"/>
  <c r="J31" i="1" s="1"/>
  <c r="J49" i="1"/>
  <c r="J46" i="1"/>
  <c r="I15" i="1"/>
  <c r="J16" i="1" s="1"/>
  <c r="J17" i="1" s="1"/>
  <c r="I24" i="1" l="1"/>
  <c r="J25" i="1" s="1"/>
  <c r="I27" i="1"/>
  <c r="J28" i="1" s="1"/>
  <c r="H10" i="2"/>
  <c r="J19" i="1"/>
  <c r="J20" i="1" s="1"/>
  <c r="J22" i="1"/>
  <c r="J23" i="1" l="1"/>
  <c r="I33" i="1" l="1"/>
  <c r="J34" i="1" s="1"/>
  <c r="J26" i="1"/>
  <c r="H11" i="2"/>
  <c r="I10" i="2"/>
  <c r="I36" i="1" l="1"/>
  <c r="J37" i="1" s="1"/>
  <c r="J29" i="1"/>
  <c r="J32" i="1" s="1"/>
  <c r="I39" i="1"/>
  <c r="I11" i="2"/>
  <c r="J10" i="2"/>
  <c r="H12" i="2"/>
  <c r="J40" i="1" l="1"/>
  <c r="J52" i="1"/>
  <c r="J35" i="1"/>
  <c r="J43" i="1"/>
  <c r="K10" i="2"/>
  <c r="J11" i="2"/>
  <c r="H13" i="2"/>
  <c r="I12" i="2"/>
  <c r="J38" i="1" l="1"/>
  <c r="J12" i="2"/>
  <c r="K11" i="2"/>
  <c r="L10" i="2"/>
  <c r="H14" i="2"/>
  <c r="I13" i="2"/>
  <c r="J41" i="1" l="1"/>
  <c r="J53" i="1" s="1"/>
  <c r="L11" i="2"/>
  <c r="I14" i="2"/>
  <c r="M10" i="2"/>
  <c r="K12" i="2"/>
  <c r="H15" i="2"/>
  <c r="J13" i="2"/>
  <c r="J44" i="1" l="1"/>
  <c r="I15" i="2"/>
  <c r="H17" i="2"/>
  <c r="H16" i="2"/>
  <c r="M11" i="2"/>
  <c r="N10" i="2"/>
  <c r="J14" i="2"/>
  <c r="L12" i="2"/>
  <c r="K13" i="2"/>
  <c r="J47" i="1" l="1"/>
  <c r="N11" i="2"/>
  <c r="O10" i="2"/>
  <c r="K14" i="2"/>
  <c r="M12" i="2"/>
  <c r="L13" i="2"/>
  <c r="J15" i="2"/>
  <c r="I17" i="2"/>
  <c r="I16" i="2"/>
  <c r="J50" i="1" l="1"/>
  <c r="M13" i="2"/>
  <c r="K15" i="2"/>
  <c r="O11" i="2"/>
  <c r="L14" i="2"/>
  <c r="J17" i="2"/>
  <c r="J16" i="2"/>
  <c r="P10" i="2"/>
  <c r="N12" i="2"/>
  <c r="L15" i="2" l="1"/>
  <c r="P11" i="2"/>
  <c r="Q10" i="2"/>
  <c r="N13" i="2"/>
  <c r="O12" i="2"/>
  <c r="K17" i="2"/>
  <c r="K16" i="2"/>
  <c r="M14" i="2"/>
  <c r="N14" i="2" l="1"/>
  <c r="M15" i="2"/>
  <c r="R10" i="2"/>
  <c r="P12" i="2"/>
  <c r="O13" i="2"/>
  <c r="Q11" i="2"/>
  <c r="L17" i="2"/>
  <c r="L16" i="2"/>
  <c r="R11" i="2" l="1"/>
  <c r="S10" i="2"/>
  <c r="Q12" i="2"/>
  <c r="O14" i="2"/>
  <c r="P13" i="2"/>
  <c r="M17" i="2"/>
  <c r="M16" i="2"/>
  <c r="N15" i="2"/>
  <c r="O15" i="2" l="1"/>
  <c r="Q13" i="2"/>
  <c r="S11" i="2"/>
  <c r="N17" i="2"/>
  <c r="N16" i="2"/>
  <c r="T10" i="2"/>
  <c r="P14" i="2"/>
  <c r="R12" i="2"/>
  <c r="R13" i="2" l="1"/>
  <c r="S12" i="2"/>
  <c r="P15" i="2"/>
  <c r="Q14" i="2"/>
  <c r="T11" i="2"/>
  <c r="O17" i="2"/>
  <c r="O16" i="2"/>
  <c r="P17" i="2" l="1"/>
  <c r="P16" i="2"/>
  <c r="Q15" i="2"/>
  <c r="S13" i="2"/>
  <c r="T12" i="2"/>
  <c r="R14" i="2"/>
  <c r="T13" i="2" l="1"/>
  <c r="S14" i="2"/>
  <c r="Q17" i="2"/>
  <c r="Q16" i="2"/>
  <c r="R15" i="2"/>
  <c r="R17" i="2" l="1"/>
  <c r="R16" i="2"/>
  <c r="S15" i="2"/>
  <c r="T14" i="2"/>
  <c r="T15" i="2" l="1"/>
  <c r="S17" i="2"/>
  <c r="S16" i="2"/>
  <c r="T17" i="2" l="1"/>
  <c r="T16" i="2"/>
</calcChain>
</file>

<file path=xl/sharedStrings.xml><?xml version="1.0" encoding="utf-8"?>
<sst xmlns="http://schemas.openxmlformats.org/spreadsheetml/2006/main" count="257" uniqueCount="78">
  <si>
    <t>Pipe Types</t>
  </si>
  <si>
    <t>SCH10ID</t>
  </si>
  <si>
    <t>SCH30ID</t>
  </si>
  <si>
    <t>SCH40ID</t>
  </si>
  <si>
    <t>SCH80ID</t>
  </si>
  <si>
    <t>CMNTLND52</t>
  </si>
  <si>
    <t>CMNTLND52ID</t>
  </si>
  <si>
    <t>Schedule10</t>
  </si>
  <si>
    <t>Schedule30</t>
  </si>
  <si>
    <t>Schedule40</t>
  </si>
  <si>
    <t>Schedule80</t>
  </si>
  <si>
    <t>Node 1</t>
  </si>
  <si>
    <t>Elev 1 (ft)</t>
  </si>
  <si>
    <t>Flow</t>
  </si>
  <si>
    <t>Pipe Type</t>
  </si>
  <si>
    <t>Nominal ID</t>
  </si>
  <si>
    <t>Fitting(s) Eqv. Length (ft)</t>
  </si>
  <si>
    <t>L (ft)</t>
  </si>
  <si>
    <t>C Factor</t>
  </si>
  <si>
    <t>Total (Pt)</t>
  </si>
  <si>
    <t>Node 2</t>
  </si>
  <si>
    <t>Elev 2 (ft)</t>
  </si>
  <si>
    <t>Tot. Flow</t>
  </si>
  <si>
    <t>Actual ID</t>
  </si>
  <si>
    <t>F (ft)</t>
  </si>
  <si>
    <t>Pf (psi/ft)</t>
  </si>
  <si>
    <t>T (ft)</t>
  </si>
  <si>
    <t>O</t>
  </si>
  <si>
    <t>A</t>
  </si>
  <si>
    <t>B</t>
  </si>
  <si>
    <t>C factor</t>
  </si>
  <si>
    <t>SCH 40</t>
  </si>
  <si>
    <t>1"</t>
  </si>
  <si>
    <t>1 1/4"</t>
  </si>
  <si>
    <t>1 1/2"</t>
  </si>
  <si>
    <t>2"</t>
  </si>
  <si>
    <t>2 1/2"</t>
  </si>
  <si>
    <t>3"</t>
  </si>
  <si>
    <t>3 1/2"</t>
  </si>
  <si>
    <t>4"</t>
  </si>
  <si>
    <t>5"</t>
  </si>
  <si>
    <t>6"</t>
  </si>
  <si>
    <t>8"</t>
  </si>
  <si>
    <t>10"</t>
  </si>
  <si>
    <t>12"</t>
  </si>
  <si>
    <t>Elbow 45</t>
  </si>
  <si>
    <t>Elbow 90 Standard</t>
  </si>
  <si>
    <t>Elbow 90 Long Turn</t>
  </si>
  <si>
    <t>Tee or Cross</t>
  </si>
  <si>
    <t>Butterfly valve</t>
  </si>
  <si>
    <t>Gate Valve</t>
  </si>
  <si>
    <t>Flow switch</t>
  </si>
  <si>
    <t>Swing check valve</t>
  </si>
  <si>
    <t>Internal Diameter</t>
  </si>
  <si>
    <t>SCH 10</t>
  </si>
  <si>
    <t>SCH 30</t>
  </si>
  <si>
    <t>Cement Lined Ductil 52</t>
  </si>
  <si>
    <t>(D/D40)^4.87</t>
  </si>
  <si>
    <t>Internal Diameter Multiplier</t>
  </si>
  <si>
    <t>-</t>
  </si>
  <si>
    <t>SCH 80</t>
  </si>
  <si>
    <t>C Value Multiplier</t>
  </si>
  <si>
    <t>Sch40, C 120</t>
  </si>
  <si>
    <t>Fittings and Valves</t>
  </si>
  <si>
    <t>Test</t>
  </si>
  <si>
    <t>Elev (Pe)</t>
  </si>
  <si>
    <t>Frict (Pf)</t>
  </si>
  <si>
    <t>Class of Standpipe</t>
  </si>
  <si>
    <t>Last node shall be "Test"</t>
  </si>
  <si>
    <r>
      <t xml:space="preserve">Enter Values in </t>
    </r>
    <r>
      <rPr>
        <b/>
        <sz val="10"/>
        <color indexed="57"/>
        <rFont val="Arial"/>
        <family val="2"/>
      </rPr>
      <t>Green</t>
    </r>
    <r>
      <rPr>
        <b/>
        <sz val="10"/>
        <rFont val="Arial"/>
        <family val="2"/>
      </rPr>
      <t xml:space="preserve"> Cells</t>
    </r>
  </si>
  <si>
    <r>
      <t xml:space="preserve">Select Values of </t>
    </r>
    <r>
      <rPr>
        <b/>
        <sz val="10"/>
        <color indexed="49"/>
        <rFont val="Arial"/>
        <family val="2"/>
      </rPr>
      <t>Blue</t>
    </r>
    <r>
      <rPr>
        <b/>
        <sz val="10"/>
        <rFont val="Arial"/>
        <family val="2"/>
      </rPr>
      <t xml:space="preserve"> Cells</t>
    </r>
  </si>
  <si>
    <t>Reuired Flow (gpm)</t>
  </si>
  <si>
    <t>Reuired Pressure (psi)</t>
  </si>
  <si>
    <t>Class I</t>
  </si>
  <si>
    <t>(L eq of c120 &amp;Sch40) x((D/D40)^4.87)</t>
  </si>
  <si>
    <t>Notes</t>
  </si>
  <si>
    <t>D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</si>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</sst>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theme="4" tint="-0.49998474074526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indexed="57"/>
      <name val="Arial"/>
      <family val="2"/>
    </font>
    <font>
      <b/>
      <sz val="10"/>
      <color indexed="49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2" fontId="1" fillId="2" borderId="1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0" fillId="2" borderId="1" xfId="0" applyFill="1" applyBorder="1"/>
    <xf numFmtId="0" fontId="5" fillId="2" borderId="1" xfId="0" applyFont="1" applyFill="1" applyBorder="1"/>
    <xf numFmtId="0" fontId="5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2" borderId="17" xfId="0" applyFont="1" applyFill="1" applyBorder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12" xfId="0" applyFont="1" applyFill="1" applyBorder="1" applyAlignment="1" applyProtection="1">
      <alignment horizontal="center"/>
      <protection hidden="1"/>
    </xf>
    <xf numFmtId="0" fontId="5" fillId="2" borderId="17" xfId="0" applyFont="1" applyFill="1" applyBorder="1" applyProtection="1">
      <protection hidden="1"/>
    </xf>
    <xf numFmtId="2" fontId="0" fillId="0" borderId="1" xfId="0" applyNumberFormat="1" applyBorder="1" applyAlignment="1" applyProtection="1">
      <alignment horizontal="center"/>
      <protection hidden="1"/>
    </xf>
    <xf numFmtId="2" fontId="0" fillId="0" borderId="12" xfId="0" applyNumberFormat="1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/>
      <protection hidden="1"/>
    </xf>
    <xf numFmtId="1" fontId="0" fillId="0" borderId="12" xfId="0" applyNumberFormat="1" applyBorder="1" applyAlignment="1" applyProtection="1">
      <alignment horizontal="center"/>
      <protection hidden="1"/>
    </xf>
    <xf numFmtId="0" fontId="5" fillId="2" borderId="16" xfId="0" applyFont="1" applyFill="1" applyBorder="1" applyProtection="1">
      <protection hidden="1"/>
    </xf>
    <xf numFmtId="1" fontId="0" fillId="0" borderId="18" xfId="0" applyNumberFormat="1" applyBorder="1" applyAlignment="1" applyProtection="1">
      <alignment horizontal="center"/>
      <protection hidden="1"/>
    </xf>
    <xf numFmtId="2" fontId="0" fillId="0" borderId="18" xfId="0" applyNumberFormat="1" applyBorder="1" applyAlignment="1" applyProtection="1">
      <alignment horizontal="center"/>
      <protection hidden="1"/>
    </xf>
    <xf numFmtId="2" fontId="0" fillId="0" borderId="13" xfId="0" applyNumberFormat="1" applyBorder="1" applyAlignment="1" applyProtection="1">
      <alignment horizontal="center"/>
      <protection hidden="1"/>
    </xf>
    <xf numFmtId="0" fontId="1" fillId="2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left" vertical="center"/>
    </xf>
    <xf numFmtId="0" fontId="0" fillId="0" borderId="8" xfId="0" applyBorder="1" applyAlignment="1" applyProtection="1">
      <alignment horizontal="center"/>
      <protection hidden="1"/>
    </xf>
    <xf numFmtId="164" fontId="0" fillId="0" borderId="0" xfId="0" applyNumberFormat="1"/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hidden="1"/>
    </xf>
    <xf numFmtId="0" fontId="8" fillId="6" borderId="2" xfId="0" applyFont="1" applyFill="1" applyBorder="1" applyAlignment="1" applyProtection="1">
      <alignment horizontal="center" vertical="center"/>
      <protection locked="0"/>
    </xf>
    <xf numFmtId="164" fontId="8" fillId="5" borderId="9" xfId="0" applyNumberFormat="1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5" borderId="6" xfId="0" applyFont="1" applyFill="1" applyBorder="1" applyAlignment="1" applyProtection="1">
      <alignment horizontal="center" vertical="center"/>
      <protection hidden="1"/>
    </xf>
    <xf numFmtId="164" fontId="8" fillId="5" borderId="6" xfId="0" applyNumberFormat="1" applyFont="1" applyFill="1" applyBorder="1" applyAlignment="1" applyProtection="1">
      <alignment horizontal="center" vertical="center"/>
      <protection hidden="1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hidden="1"/>
    </xf>
    <xf numFmtId="164" fontId="8" fillId="5" borderId="8" xfId="0" applyNumberFormat="1" applyFont="1" applyFill="1" applyBorder="1" applyAlignment="1" applyProtection="1">
      <alignment horizontal="center" vertical="center"/>
      <protection hidden="1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center" vertical="center"/>
      <protection locked="0"/>
    </xf>
    <xf numFmtId="164" fontId="9" fillId="5" borderId="9" xfId="0" applyNumberFormat="1" applyFont="1" applyFill="1" applyBorder="1" applyAlignment="1" applyProtection="1">
      <alignment horizontal="center" vertical="center"/>
      <protection hidden="1"/>
    </xf>
    <xf numFmtId="0" fontId="9" fillId="4" borderId="6" xfId="0" applyFont="1" applyFill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horizontal="center" vertical="center"/>
      <protection hidden="1"/>
    </xf>
    <xf numFmtId="164" fontId="9" fillId="5" borderId="6" xfId="0" applyNumberFormat="1" applyFont="1" applyFill="1" applyBorder="1" applyAlignment="1" applyProtection="1">
      <alignment horizontal="center" vertical="center"/>
      <protection hidden="1"/>
    </xf>
    <xf numFmtId="0" fontId="9" fillId="4" borderId="7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hidden="1"/>
    </xf>
    <xf numFmtId="164" fontId="9" fillId="5" borderId="8" xfId="0" applyNumberFormat="1" applyFont="1" applyFill="1" applyBorder="1" applyAlignment="1" applyProtection="1">
      <alignment horizontal="center" vertical="center"/>
      <protection hidden="1"/>
    </xf>
    <xf numFmtId="1" fontId="8" fillId="5" borderId="9" xfId="0" applyNumberFormat="1" applyFont="1" applyFill="1" applyBorder="1" applyAlignment="1" applyProtection="1">
      <alignment horizontal="center" vertical="center"/>
      <protection hidden="1"/>
    </xf>
    <xf numFmtId="164" fontId="9" fillId="5" borderId="25" xfId="0" applyNumberFormat="1" applyFont="1" applyFill="1" applyBorder="1" applyAlignment="1" applyProtection="1">
      <alignment horizontal="center" vertical="center"/>
      <protection hidden="1"/>
    </xf>
    <xf numFmtId="164" fontId="9" fillId="5" borderId="2" xfId="0" applyNumberFormat="1" applyFont="1" applyFill="1" applyBorder="1" applyAlignment="1" applyProtection="1">
      <alignment horizontal="center" vertical="center"/>
      <protection hidden="1"/>
    </xf>
    <xf numFmtId="164" fontId="9" fillId="5" borderId="26" xfId="0" applyNumberFormat="1" applyFont="1" applyFill="1" applyBorder="1" applyAlignment="1" applyProtection="1">
      <alignment horizontal="center" vertical="center"/>
      <protection hidden="1"/>
    </xf>
    <xf numFmtId="0" fontId="6" fillId="2" borderId="15" xfId="0" applyFont="1" applyFill="1" applyBorder="1" applyAlignment="1">
      <alignment horizontal="center"/>
    </xf>
    <xf numFmtId="164" fontId="6" fillId="2" borderId="13" xfId="0" applyNumberFormat="1" applyFont="1" applyFill="1" applyBorder="1" applyAlignment="1">
      <alignment horizontal="center"/>
    </xf>
    <xf numFmtId="0" fontId="3" fillId="3" borderId="15" xfId="0" applyFont="1" applyFill="1" applyBorder="1" applyAlignment="1" applyProtection="1">
      <alignment horizontal="center" vertical="center"/>
      <protection locked="0" hidden="1"/>
    </xf>
    <xf numFmtId="0" fontId="3" fillId="3" borderId="13" xfId="0" applyFont="1" applyFill="1" applyBorder="1" applyAlignment="1" applyProtection="1">
      <alignment horizontal="center" vertical="center"/>
      <protection locked="0" hidden="1"/>
    </xf>
    <xf numFmtId="164" fontId="1" fillId="0" borderId="1" xfId="0" applyNumberFormat="1" applyFont="1" applyBorder="1" applyAlignment="1" applyProtection="1">
      <alignment horizontal="center" vertical="center"/>
      <protection hidden="1"/>
    </xf>
    <xf numFmtId="0" fontId="8" fillId="4" borderId="2" xfId="0" applyFont="1" applyFill="1" applyBorder="1" applyAlignment="1" applyProtection="1">
      <alignment horizontal="center" vertical="center"/>
      <protection locked="0" hidden="1"/>
    </xf>
    <xf numFmtId="0" fontId="9" fillId="4" borderId="2" xfId="0" applyFont="1" applyFill="1" applyBorder="1" applyAlignment="1" applyProtection="1">
      <alignment horizontal="center" vertical="center"/>
      <protection locked="0" hidden="1"/>
    </xf>
    <xf numFmtId="0" fontId="6" fillId="6" borderId="20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5" borderId="30" xfId="0" applyFill="1" applyBorder="1" applyAlignment="1" applyProtection="1">
      <alignment horizontal="left" vertical="center"/>
      <protection hidden="1"/>
    </xf>
    <xf numFmtId="0" fontId="0" fillId="5" borderId="27" xfId="0" applyFill="1" applyBorder="1" applyAlignment="1" applyProtection="1">
      <alignment horizontal="center"/>
      <protection hidden="1"/>
    </xf>
    <xf numFmtId="0" fontId="0" fillId="5" borderId="0" xfId="0" applyFill="1" applyBorder="1" applyAlignment="1" applyProtection="1">
      <alignment horizontal="center"/>
      <protection hidden="1"/>
    </xf>
    <xf numFmtId="0" fontId="0" fillId="5" borderId="0" xfId="0" applyFill="1" applyBorder="1" applyProtection="1">
      <protection hidden="1"/>
    </xf>
    <xf numFmtId="164" fontId="0" fillId="5" borderId="25" xfId="0" applyNumberFormat="1" applyFill="1" applyBorder="1" applyAlignment="1" applyProtection="1">
      <alignment horizontal="left"/>
      <protection hidden="1"/>
    </xf>
    <xf numFmtId="0" fontId="12" fillId="0" borderId="0" xfId="0" applyFont="1" applyAlignment="1">
      <alignment horizontal="left" vertical="center" readingOrder="1"/>
    </xf>
    <xf numFmtId="0" fontId="0" fillId="5" borderId="30" xfId="0" applyFill="1" applyBorder="1" applyAlignment="1" applyProtection="1">
      <alignment horizontal="left"/>
      <protection hidden="1"/>
    </xf>
    <xf numFmtId="165" fontId="9" fillId="5" borderId="4" xfId="0" applyNumberFormat="1" applyFont="1" applyFill="1" applyBorder="1" applyAlignment="1" applyProtection="1">
      <alignment horizontal="center" vertical="center"/>
      <protection hidden="1"/>
    </xf>
    <xf numFmtId="165" fontId="9" fillId="5" borderId="7" xfId="0" applyNumberFormat="1" applyFont="1" applyFill="1" applyBorder="1" applyAlignment="1" applyProtection="1">
      <alignment horizontal="center" vertical="center"/>
      <protection hidden="1"/>
    </xf>
    <xf numFmtId="0" fontId="9" fillId="6" borderId="3" xfId="0" applyFont="1" applyFill="1" applyBorder="1" applyAlignment="1" applyProtection="1">
      <alignment horizontal="center" vertical="center"/>
      <protection locked="0"/>
    </xf>
    <xf numFmtId="0" fontId="9" fillId="6" borderId="5" xfId="0" applyFont="1" applyFill="1" applyBorder="1" applyAlignment="1" applyProtection="1">
      <alignment horizontal="center" vertical="center"/>
      <protection locked="0"/>
    </xf>
    <xf numFmtId="0" fontId="9" fillId="6" borderId="7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9" fillId="4" borderId="7" xfId="0" applyFont="1" applyFill="1" applyBorder="1" applyAlignment="1" applyProtection="1">
      <alignment horizontal="center" vertical="center"/>
      <protection locked="0"/>
    </xf>
    <xf numFmtId="0" fontId="9" fillId="5" borderId="4" xfId="0" applyFont="1" applyFill="1" applyBorder="1" applyAlignment="1" applyProtection="1">
      <alignment horizontal="center" vertical="center"/>
      <protection hidden="1"/>
    </xf>
    <xf numFmtId="0" fontId="9" fillId="5" borderId="7" xfId="0" applyFont="1" applyFill="1" applyBorder="1" applyAlignment="1" applyProtection="1">
      <alignment horizontal="center" vertical="center"/>
      <protection hidden="1"/>
    </xf>
    <xf numFmtId="165" fontId="8" fillId="5" borderId="4" xfId="0" applyNumberFormat="1" applyFont="1" applyFill="1" applyBorder="1" applyAlignment="1" applyProtection="1">
      <alignment horizontal="center" vertical="center"/>
      <protection hidden="1"/>
    </xf>
    <xf numFmtId="165" fontId="8" fillId="5" borderId="7" xfId="0" applyNumberFormat="1" applyFont="1" applyFill="1" applyBorder="1" applyAlignment="1" applyProtection="1">
      <alignment horizontal="center" vertical="center"/>
      <protection hidden="1"/>
    </xf>
    <xf numFmtId="0" fontId="8" fillId="6" borderId="3" xfId="0" applyFont="1" applyFill="1" applyBorder="1" applyAlignment="1" applyProtection="1">
      <alignment horizontal="center" vertical="center"/>
      <protection locked="0"/>
    </xf>
    <xf numFmtId="0" fontId="8" fillId="6" borderId="5" xfId="0" applyFont="1" applyFill="1" applyBorder="1" applyAlignment="1" applyProtection="1">
      <alignment horizontal="center" vertical="center"/>
      <protection locked="0"/>
    </xf>
    <xf numFmtId="0" fontId="8" fillId="6" borderId="7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hidden="1"/>
    </xf>
    <xf numFmtId="0" fontId="8" fillId="5" borderId="7" xfId="0" applyFont="1" applyFill="1" applyBorder="1" applyAlignment="1" applyProtection="1">
      <alignment horizontal="center" vertical="center"/>
      <protection hidden="1"/>
    </xf>
    <xf numFmtId="0" fontId="6" fillId="2" borderId="14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5" borderId="24" xfId="0" applyFill="1" applyBorder="1" applyAlignment="1" applyProtection="1">
      <alignment horizontal="center"/>
      <protection hidden="1"/>
    </xf>
    <xf numFmtId="0" fontId="0" fillId="5" borderId="31" xfId="0" applyFill="1" applyBorder="1" applyAlignment="1" applyProtection="1">
      <alignment horizontal="center"/>
      <protection hidden="1"/>
    </xf>
    <xf numFmtId="0" fontId="0" fillId="5" borderId="8" xfId="0" applyFill="1" applyBorder="1" applyAlignment="1" applyProtection="1">
      <alignment horizontal="center"/>
      <protection hidden="1"/>
    </xf>
    <xf numFmtId="0" fontId="1" fillId="2" borderId="14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0" fillId="5" borderId="28" xfId="0" applyFill="1" applyBorder="1" applyAlignment="1" applyProtection="1">
      <alignment horizontal="center"/>
      <protection hidden="1"/>
    </xf>
    <xf numFmtId="0" fontId="0" fillId="5" borderId="29" xfId="0" applyFill="1" applyBorder="1" applyAlignment="1" applyProtection="1">
      <alignment horizontal="center"/>
      <protection hidden="1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165" fontId="9" fillId="5" borderId="23" xfId="0" applyNumberFormat="1" applyFont="1" applyFill="1" applyBorder="1" applyAlignment="1" applyProtection="1">
      <alignment horizontal="center" vertical="center"/>
      <protection hidden="1"/>
    </xf>
    <xf numFmtId="165" fontId="9" fillId="5" borderId="24" xfId="0" applyNumberFormat="1" applyFont="1" applyFill="1" applyBorder="1" applyAlignment="1" applyProtection="1">
      <alignment horizontal="center" vertical="center"/>
      <protection hidden="1"/>
    </xf>
    <xf numFmtId="0" fontId="0" fillId="5" borderId="28" xfId="0" applyFill="1" applyBorder="1" applyAlignment="1" applyProtection="1">
      <alignment horizontal="center" vertical="center"/>
      <protection hidden="1"/>
    </xf>
    <xf numFmtId="0" fontId="0" fillId="5" borderId="29" xfId="0" applyFill="1" applyBorder="1" applyAlignment="1" applyProtection="1">
      <alignment horizontal="center" vertical="center"/>
      <protection hidden="1"/>
    </xf>
    <xf numFmtId="0" fontId="1" fillId="2" borderId="10" xfId="0" applyFont="1" applyFill="1" applyBorder="1" applyAlignment="1" applyProtection="1">
      <alignment horizontal="center"/>
      <protection hidden="1"/>
    </xf>
    <xf numFmtId="0" fontId="1" fillId="2" borderId="11" xfId="0" applyFont="1" applyFill="1" applyBorder="1" applyAlignment="1" applyProtection="1">
      <alignment horizontal="center"/>
      <protection hidden="1"/>
    </xf>
    <xf numFmtId="0" fontId="1" fillId="2" borderId="9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543339</xdr:colOff>
      <xdr:row>0</xdr:row>
      <xdr:rowOff>0</xdr:rowOff>
    </xdr:from>
    <xdr:to>
      <xdr:col>2</xdr:col>
      <xdr:colOff>421419</xdr:colOff>
      <xdr:row>5</xdr:row>
      <xdr:rowOff>164249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B5A394-4FA1-4B88-AEBC-DB9E0F891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339" y="0"/>
          <a:ext cx="1097280" cy="1091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541021</xdr:colOff>
      <xdr:row>0</xdr:row>
      <xdr:rowOff>0</xdr:rowOff>
    </xdr:from>
    <xdr:to>
      <xdr:col>3</xdr:col>
      <xdr:colOff>182881</xdr:colOff>
      <xdr:row>5</xdr:row>
      <xdr:rowOff>177501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7EC27B-EC83-4FB4-BD00-6642463B2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021" y="0"/>
          <a:ext cx="1097280" cy="10919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562708</xdr:colOff>
      <xdr:row>0</xdr:row>
      <xdr:rowOff>0</xdr:rowOff>
    </xdr:from>
    <xdr:to>
      <xdr:col>1</xdr:col>
      <xdr:colOff>1050388</xdr:colOff>
      <xdr:row>6</xdr:row>
      <xdr:rowOff>1655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EE5003-CABD-4360-B72E-35DC9700F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708" y="0"/>
          <a:ext cx="1097280" cy="1091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1FFFD-28CA-497C-A1A1-D5205A7B7713}">
  <dimension ref="B6:AF95"/>
  <sheetViews>
    <sheetView showGridLines="0" tabSelected="1" topLeftCell="A9" zoomScaleNormal="100" workbookViewId="0">
      <selection activeCell="I26" sqref="I26"/>
    </sheetView>
  </sheetViews>
  <sheetFormatPr defaultRowHeight="14.4" x14ac:dyDescent="0.3"/>
  <cols>
    <col min="5" max="5" width="13.88671875" customWidth="1"/>
    <col min="9" max="9" width="10.6640625" customWidth="1"/>
    <col min="10" max="10" width="11.109375" customWidth="1"/>
    <col min="11" max="11" width="3.44140625" customWidth="1"/>
    <col min="12" max="12" width="2.109375" customWidth="1"/>
    <col min="13" max="13" width="5.77734375" customWidth="1"/>
    <col min="14" max="14" width="1.5546875" customWidth="1"/>
    <col min="15" max="15" width="3.77734375" customWidth="1"/>
    <col min="16" max="16" width="2.6640625" customWidth="1"/>
    <col min="17" max="17" width="6.44140625" style="71" customWidth="1"/>
    <col min="19" max="19" width="13.88671875" customWidth="1"/>
    <col min="22" max="22" width="11" bestFit="1" customWidth="1"/>
    <col min="25" max="25" width="11" bestFit="1" customWidth="1"/>
    <col min="28" max="28" width="11" bestFit="1" customWidth="1"/>
    <col min="31" max="31" width="12" bestFit="1" customWidth="1"/>
    <col min="32" max="32" width="13.88671875" bestFit="1" customWidth="1"/>
  </cols>
  <sheetData>
    <row r="6" spans="2:17" ht="15" thickBot="1" x14ac:dyDescent="0.35"/>
    <row r="7" spans="2:17" ht="15" thickBot="1" x14ac:dyDescent="0.35">
      <c r="B7" s="107" t="s">
        <v>69</v>
      </c>
      <c r="C7" s="108"/>
      <c r="D7" s="109"/>
      <c r="G7" s="126" t="s">
        <v>67</v>
      </c>
      <c r="H7" s="127"/>
      <c r="I7" s="70" t="s">
        <v>73</v>
      </c>
    </row>
    <row r="8" spans="2:17" ht="15" thickBot="1" x14ac:dyDescent="0.35">
      <c r="B8" s="110" t="s">
        <v>70</v>
      </c>
      <c r="C8" s="111"/>
      <c r="D8" s="112"/>
    </row>
    <row r="9" spans="2:17" ht="15" thickBot="1" x14ac:dyDescent="0.35">
      <c r="B9" s="110" t="s">
        <v>68</v>
      </c>
      <c r="C9" s="111"/>
      <c r="D9" s="112"/>
    </row>
    <row r="10" spans="2:17" ht="15" thickBot="1" x14ac:dyDescent="0.35"/>
    <row r="11" spans="2:17" ht="27.6" x14ac:dyDescent="0.3">
      <c r="B11" s="36" t="s">
        <v>11</v>
      </c>
      <c r="C11" s="36" t="s">
        <v>12</v>
      </c>
      <c r="D11" s="36" t="s">
        <v>13</v>
      </c>
      <c r="E11" s="100" t="s">
        <v>14</v>
      </c>
      <c r="F11" s="36" t="s">
        <v>15</v>
      </c>
      <c r="G11" s="100" t="s">
        <v>16</v>
      </c>
      <c r="H11" s="36" t="s">
        <v>17</v>
      </c>
      <c r="I11" s="36" t="s">
        <v>18</v>
      </c>
      <c r="J11" s="36" t="s">
        <v>19</v>
      </c>
      <c r="K11" s="115" t="s">
        <v>75</v>
      </c>
      <c r="L11" s="116"/>
      <c r="M11" s="116"/>
      <c r="N11" s="116"/>
      <c r="O11" s="116"/>
      <c r="P11" s="116"/>
      <c r="Q11" s="117"/>
    </row>
    <row r="12" spans="2:17" x14ac:dyDescent="0.3">
      <c r="B12" s="103" t="s">
        <v>20</v>
      </c>
      <c r="C12" s="103" t="s">
        <v>21</v>
      </c>
      <c r="D12" s="103" t="s">
        <v>22</v>
      </c>
      <c r="E12" s="101"/>
      <c r="F12" s="103" t="s">
        <v>23</v>
      </c>
      <c r="G12" s="101"/>
      <c r="H12" s="37" t="s">
        <v>24</v>
      </c>
      <c r="I12" s="103" t="s">
        <v>25</v>
      </c>
      <c r="J12" s="37" t="s">
        <v>65</v>
      </c>
      <c r="K12" s="118"/>
      <c r="L12" s="119"/>
      <c r="M12" s="119"/>
      <c r="N12" s="119"/>
      <c r="O12" s="119"/>
      <c r="P12" s="119"/>
      <c r="Q12" s="120"/>
    </row>
    <row r="13" spans="2:17" ht="15" thickBot="1" x14ac:dyDescent="0.35">
      <c r="B13" s="102"/>
      <c r="C13" s="102"/>
      <c r="D13" s="102"/>
      <c r="E13" s="102"/>
      <c r="F13" s="102"/>
      <c r="G13" s="102"/>
      <c r="H13" s="38" t="s">
        <v>26</v>
      </c>
      <c r="I13" s="102"/>
      <c r="J13" s="39" t="s">
        <v>66</v>
      </c>
      <c r="K13" s="121"/>
      <c r="L13" s="122"/>
      <c r="M13" s="122"/>
      <c r="N13" s="122"/>
      <c r="O13" s="122"/>
      <c r="P13" s="122"/>
      <c r="Q13" s="123"/>
    </row>
    <row r="14" spans="2:17" ht="26.4" customHeight="1" x14ac:dyDescent="0.3">
      <c r="B14" s="40" t="s">
        <v>27</v>
      </c>
      <c r="C14" s="40">
        <v>45</v>
      </c>
      <c r="D14" s="41">
        <f>IF(I7="Class I",250,100)</f>
        <v>250</v>
      </c>
      <c r="E14" s="91" t="s">
        <v>9</v>
      </c>
      <c r="F14" s="42">
        <v>2.5</v>
      </c>
      <c r="G14" s="40">
        <v>43</v>
      </c>
      <c r="H14" s="40">
        <v>1</v>
      </c>
      <c r="I14" s="42">
        <v>120</v>
      </c>
      <c r="J14" s="59">
        <f>IF(I7="Class I",100,65)</f>
        <v>100</v>
      </c>
      <c r="K14" s="130" t="str">
        <f>IF(AND(E14&lt;&gt;"Schedule40",H15&lt;&gt;0),"Pipe Type Adjustment=","")</f>
        <v/>
      </c>
      <c r="L14" s="131"/>
      <c r="M14" s="131"/>
      <c r="N14" s="131"/>
      <c r="O14" s="131"/>
      <c r="P14" s="131"/>
      <c r="Q14" s="73" t="str">
        <f>IF(OR(E14="Schedule40",H15=0),"",IF(E14="Schedule10",HLOOKUP(F14,T76:AF81,2,FALSE),IF(E14="Schedule30",HLOOKUP(F14,T76:AF81,3,FALSE),IF(E14="Schedule80",HLOOKUP(F14,T76:AF81,5,FALSE),IF(E14="CMNTLND52",HLOOKUP(F14,T76:AF81,6,FALSE))))))</f>
        <v/>
      </c>
    </row>
    <row r="15" spans="2:17" x14ac:dyDescent="0.3">
      <c r="B15" s="94" t="s">
        <v>28</v>
      </c>
      <c r="C15" s="94">
        <v>45</v>
      </c>
      <c r="D15" s="96">
        <f>D14</f>
        <v>250</v>
      </c>
      <c r="E15" s="92"/>
      <c r="F15" s="96">
        <f>IF(E14="Schedule10",VLOOKUP(F14,S58:T70,2,FALSE),IF(E14="Schedule30",VLOOKUP(F14,V58:W59,2,FALSE),IF(E14="Schedule40",VLOOKUP(F14,Y58:Z70,2,FALSE),IF(E14="Schedule80",VLOOKUP(F14,AB58:AC70,2,FALSE),IF(E14="CMNTLND52",VLOOKUP(F14,AE58:AF63,2,FALSE))))))</f>
        <v>2.4689999999999999</v>
      </c>
      <c r="G15" s="44">
        <v>0</v>
      </c>
      <c r="H15" s="45">
        <f>G14+G15+G16</f>
        <v>43</v>
      </c>
      <c r="I15" s="89">
        <f>IF(B14=0,"",(4.52*D15^1.85)/((I14^1.85)*(F15^4.87)))</f>
        <v>0.21540929417940627</v>
      </c>
      <c r="J15" s="46">
        <f>IF(B15=0,"",(C14-C15)*0.433)</f>
        <v>0</v>
      </c>
      <c r="K15" s="74" t="str">
        <f t="shared" ref="K15" si="0">IF(C14&lt;&gt;C15,"Pe","")</f>
        <v/>
      </c>
      <c r="L15" s="75" t="str">
        <f t="shared" ref="L15" si="1">IF(C14&lt;&gt;C15,"=","")</f>
        <v/>
      </c>
      <c r="M15" s="75" t="str">
        <f t="shared" ref="M15" si="2">IF(C14&lt;&gt;C15,"0.433","")</f>
        <v/>
      </c>
      <c r="N15" s="75" t="str">
        <f t="shared" ref="N15" si="3">IF(C14&lt;&gt;C15,"x","")</f>
        <v/>
      </c>
      <c r="O15" s="75" t="str">
        <f t="shared" ref="O15" si="4">IF(C14&lt;&gt;C15,C14-C15,"")</f>
        <v/>
      </c>
      <c r="P15" s="76" t="str">
        <f t="shared" ref="P15" si="5">IF(C14&lt;&gt;C15,"=","")</f>
        <v/>
      </c>
      <c r="Q15" s="77" t="str">
        <f t="shared" ref="Q15:Q45" si="6">IF(OR(J15=0,J15=""),"",M15*O15)</f>
        <v/>
      </c>
    </row>
    <row r="16" spans="2:17" ht="15" thickBot="1" x14ac:dyDescent="0.35">
      <c r="B16" s="95"/>
      <c r="C16" s="95"/>
      <c r="D16" s="97"/>
      <c r="E16" s="93"/>
      <c r="F16" s="97"/>
      <c r="G16" s="47">
        <v>0</v>
      </c>
      <c r="H16" s="48">
        <f>H14+H15</f>
        <v>44</v>
      </c>
      <c r="I16" s="90"/>
      <c r="J16" s="49">
        <f>IF(B15=0,"",H16*I15)</f>
        <v>9.4780089438938759</v>
      </c>
      <c r="K16" s="104" t="str">
        <f>IF(OR(H15=0,I14=120),"",IF(I14=100,"C Factor Adjustment=0.713",IF(I14=130,"C Factor Adjustment=1.16",IF(I14=140,"C Factor Adjustment=1.33",IF(I14=150,"C Factor Adjustment=1.51")))))</f>
        <v/>
      </c>
      <c r="L16" s="105"/>
      <c r="M16" s="105"/>
      <c r="N16" s="105"/>
      <c r="O16" s="105"/>
      <c r="P16" s="105"/>
      <c r="Q16" s="106"/>
    </row>
    <row r="17" spans="2:17" ht="29.4" customHeight="1" x14ac:dyDescent="0.3">
      <c r="B17" s="40" t="s">
        <v>28</v>
      </c>
      <c r="C17" s="40">
        <v>45</v>
      </c>
      <c r="D17" s="68">
        <v>0</v>
      </c>
      <c r="E17" s="91" t="s">
        <v>9</v>
      </c>
      <c r="F17" s="42">
        <v>6</v>
      </c>
      <c r="G17" s="40">
        <v>0</v>
      </c>
      <c r="H17" s="40">
        <v>10</v>
      </c>
      <c r="I17" s="42">
        <v>120</v>
      </c>
      <c r="J17" s="43">
        <f>IF(D15="","",J14+J15+J16)</f>
        <v>109.47800894389388</v>
      </c>
      <c r="K17" s="130" t="str">
        <f>IF(AND(E17&lt;&gt;"Schedule40",H18&lt;&gt;0),"Pipe Type Adjustment=","")</f>
        <v/>
      </c>
      <c r="L17" s="131"/>
      <c r="M17" s="131"/>
      <c r="N17" s="131"/>
      <c r="O17" s="131"/>
      <c r="P17" s="131"/>
      <c r="Q17" s="73" t="str">
        <f>IF(OR(E17="Schedule40",H18=0),"",IF(E17="Schedule10",HLOOKUP(F17,T76:AF81,2,FALSE),IF(E17="Schedule30",HLOOKUP(F17,T76:AF81,3,FALSE),IF(E17="Schedule80",HLOOKUP(F17,T76:AF81,5,FALSE),IF(E17="CMNTLND52",HLOOKUP(F17,T76:AF81,6,FALSE))))))</f>
        <v/>
      </c>
    </row>
    <row r="18" spans="2:17" x14ac:dyDescent="0.3">
      <c r="B18" s="94" t="s">
        <v>29</v>
      </c>
      <c r="C18" s="94">
        <v>35</v>
      </c>
      <c r="D18" s="96">
        <f>IF(OR(B15="Test",B17="",B17=0,D15=""),"",D15+D17)</f>
        <v>250</v>
      </c>
      <c r="E18" s="92"/>
      <c r="F18" s="96">
        <f>IF(E17="Schedule10",VLOOKUP(F17,S58:T70,2,FALSE),IF(E17="Schedule30",VLOOKUP(F17,V58:W59,2,FALSE),IF(E17="Schedule40",VLOOKUP(F17,Y58:Z70,2,FALSE),IF(E17="Schedule80",VLOOKUP(F17,AB58:AC70,2,FALSE),IF(E17="CMNTLND52",VLOOKUP(F17,AE58:AF63,2,FALSE))))))</f>
        <v>6.0650000000000004</v>
      </c>
      <c r="G18" s="44">
        <v>0</v>
      </c>
      <c r="H18" s="45">
        <f>G17+G18+G19</f>
        <v>0</v>
      </c>
      <c r="I18" s="89">
        <f>IF(OR(B17="Test",B17=0),"",(4.52*D18^1.85)/((I17^1.85)*(F18^4.87)))</f>
        <v>2.7067997289955434E-3</v>
      </c>
      <c r="J18" s="46">
        <f>IF(B18=0,"",(C17-C18)*0.433)</f>
        <v>4.33</v>
      </c>
      <c r="K18" s="74" t="str">
        <f>IF(C17&lt;&gt;C18,"Pe","")</f>
        <v>Pe</v>
      </c>
      <c r="L18" s="75" t="str">
        <f>IF(C17&lt;&gt;C18,"=","")</f>
        <v>=</v>
      </c>
      <c r="M18" s="75" t="str">
        <f>IF(C17&lt;&gt;C18,"0.433","")</f>
        <v>0.433</v>
      </c>
      <c r="N18" s="75" t="str">
        <f>IF(C17&lt;&gt;C18,"x","")</f>
        <v>x</v>
      </c>
      <c r="O18" s="75">
        <f>IF(C17&lt;&gt;C18,C17-C18,"")</f>
        <v>10</v>
      </c>
      <c r="P18" s="76" t="str">
        <f>IF(C17&lt;&gt;C18,"=","")</f>
        <v>=</v>
      </c>
      <c r="Q18" s="77">
        <f t="shared" ref="Q18:Q48" si="7">IF(OR(J18=0,J18=""),"",M18*O18)</f>
        <v>4.33</v>
      </c>
    </row>
    <row r="19" spans="2:17" ht="15" thickBot="1" x14ac:dyDescent="0.35">
      <c r="B19" s="95"/>
      <c r="C19" s="95"/>
      <c r="D19" s="97"/>
      <c r="E19" s="93"/>
      <c r="F19" s="97"/>
      <c r="G19" s="47">
        <v>0</v>
      </c>
      <c r="H19" s="48">
        <f>H17+H18</f>
        <v>10</v>
      </c>
      <c r="I19" s="90"/>
      <c r="J19" s="49">
        <f>IF(B18=0,"",H19*I18)</f>
        <v>2.7067997289955435E-2</v>
      </c>
      <c r="K19" s="104" t="str">
        <f>IF(OR(H18=0,I17=120),"",IF(I17=100,"C Factor Adjustment=0.713",IF(I17=130,"C Factor Adjustment=1.16",IF(I17=140,"C Factor Adjustment=1.33",IF(I174=150,"C Factor Adjustment=1.51")))))</f>
        <v/>
      </c>
      <c r="L19" s="105"/>
      <c r="M19" s="105"/>
      <c r="N19" s="105"/>
      <c r="O19" s="105"/>
      <c r="P19" s="105"/>
      <c r="Q19" s="106"/>
    </row>
    <row r="20" spans="2:17" ht="26.4" customHeight="1" x14ac:dyDescent="0.3">
      <c r="B20" s="40" t="s">
        <v>29</v>
      </c>
      <c r="C20" s="40">
        <v>35</v>
      </c>
      <c r="D20" s="68">
        <v>250</v>
      </c>
      <c r="E20" s="91" t="s">
        <v>9</v>
      </c>
      <c r="F20" s="42">
        <v>6</v>
      </c>
      <c r="G20" s="40">
        <v>17</v>
      </c>
      <c r="H20" s="40">
        <v>283</v>
      </c>
      <c r="I20" s="42">
        <v>120</v>
      </c>
      <c r="J20" s="43">
        <f>IF(D18="","",J17+J18+J19)</f>
        <v>113.83507694118384</v>
      </c>
      <c r="K20" s="130" t="str">
        <f>IF(AND(E20&lt;&gt;"Schedule40",H21&lt;&gt;0),"Pipe Type Adjustment=","")</f>
        <v/>
      </c>
      <c r="L20" s="131"/>
      <c r="M20" s="131"/>
      <c r="N20" s="131"/>
      <c r="O20" s="131"/>
      <c r="P20" s="131"/>
      <c r="Q20" s="73" t="str">
        <f>IF(OR(E20="Schedule40",H21=0),"",IF(E20="Schedule10",HLOOKUP(F20,T76:AF81,2,FALSE),IF(E20="Schedule30",HLOOKUP(F20,T76:AF81,3,FALSE),IF(E20="Schedule80",HLOOKUP(F20,T76:AF81,5,FALSE),IF(E20="CMNTLND52",HLOOKUP(F20,T76:AF81,6,FALSE))))))</f>
        <v/>
      </c>
    </row>
    <row r="21" spans="2:17" x14ac:dyDescent="0.3">
      <c r="B21" s="94" t="s">
        <v>76</v>
      </c>
      <c r="C21" s="94">
        <v>0</v>
      </c>
      <c r="D21" s="96">
        <f>IF(OR(B18="Test",B20="",B20=0,D18=""),"",D18+D20)</f>
        <v>500</v>
      </c>
      <c r="E21" s="92"/>
      <c r="F21" s="96">
        <f>IF(E20="Schedule10",VLOOKUP(F20,S58:T70,2,FALSE),IF(E20="Schedule30",VLOOKUP(F20,V58:W59,2,FALSE),IF(E20="Schedule40",VLOOKUP(F20,Y58:Z70,2,FALSE),IF(E20="Schedule80",VLOOKUP(F20,AB58:AC70,2,FALSE),IF(E20="CMNTLND52",VLOOKUP(F20,AE58:AF63,2,FALSE))))))</f>
        <v>6.0650000000000004</v>
      </c>
      <c r="G21" s="44">
        <v>0</v>
      </c>
      <c r="H21" s="45">
        <f>G20+G21+G22</f>
        <v>17</v>
      </c>
      <c r="I21" s="89">
        <f>IF(OR(B20="Test",B20=0),"",(4.52*D21^1.85)/((I20^1.85)*(F21^4.87)))</f>
        <v>9.7580180318084207E-3</v>
      </c>
      <c r="J21" s="46">
        <f>IF(B21=0,"",(C20-C21)*0.433)</f>
        <v>15.154999999999999</v>
      </c>
      <c r="K21" s="74" t="str">
        <f t="shared" ref="K21:K48" si="8">IF(C20&lt;&gt;C21,"Pe","")</f>
        <v>Pe</v>
      </c>
      <c r="L21" s="75" t="str">
        <f t="shared" ref="L21:L48" si="9">IF(C20&lt;&gt;C21,"=","")</f>
        <v>=</v>
      </c>
      <c r="M21" s="75" t="str">
        <f t="shared" ref="M21:M48" si="10">IF(C20&lt;&gt;C21,"0.433","")</f>
        <v>0.433</v>
      </c>
      <c r="N21" s="75" t="str">
        <f t="shared" ref="N21:N48" si="11">IF(C20&lt;&gt;C21,"x","")</f>
        <v>x</v>
      </c>
      <c r="O21" s="75">
        <f t="shared" ref="O21:O48" si="12">IF(C20&lt;&gt;C21,C20-C21,"")</f>
        <v>35</v>
      </c>
      <c r="P21" s="76" t="str">
        <f t="shared" ref="P21:P48" si="13">IF(C20&lt;&gt;C21,"=","")</f>
        <v>=</v>
      </c>
      <c r="Q21" s="77">
        <f t="shared" si="6"/>
        <v>15.154999999999999</v>
      </c>
    </row>
    <row r="22" spans="2:17" ht="15" thickBot="1" x14ac:dyDescent="0.35">
      <c r="B22" s="95"/>
      <c r="C22" s="95"/>
      <c r="D22" s="97"/>
      <c r="E22" s="93"/>
      <c r="F22" s="97"/>
      <c r="G22" s="47">
        <v>0</v>
      </c>
      <c r="H22" s="48">
        <f>H20+H21</f>
        <v>300</v>
      </c>
      <c r="I22" s="90"/>
      <c r="J22" s="49">
        <f>IF(B21=0,"",H22*I21)</f>
        <v>2.9274054095425264</v>
      </c>
      <c r="K22" s="104" t="str">
        <f>IF(OR(H21=0,I20=120),"",IF(I20=100,"C Factor Adjustment=0.713",IF(I20=130,"C Factor Adjustment=1.16",IF(I20=140,"C Factor Adjustment=1.33",IF(I20=150,"C Factor Adjustment=1.51")))))</f>
        <v/>
      </c>
      <c r="L22" s="105"/>
      <c r="M22" s="105"/>
      <c r="N22" s="105"/>
      <c r="O22" s="105"/>
      <c r="P22" s="105"/>
      <c r="Q22" s="106"/>
    </row>
    <row r="23" spans="2:17" ht="27.6" customHeight="1" x14ac:dyDescent="0.3">
      <c r="B23" s="40" t="s">
        <v>76</v>
      </c>
      <c r="C23" s="40">
        <v>0</v>
      </c>
      <c r="D23" s="68">
        <v>250</v>
      </c>
      <c r="E23" s="91" t="s">
        <v>9</v>
      </c>
      <c r="F23" s="42">
        <v>6</v>
      </c>
      <c r="G23" s="40">
        <v>49</v>
      </c>
      <c r="H23" s="40">
        <v>200</v>
      </c>
      <c r="I23" s="42">
        <v>120</v>
      </c>
      <c r="J23" s="43">
        <f>IF(D21="","",J20+J21+J22)</f>
        <v>131.91748235072637</v>
      </c>
      <c r="K23" s="130" t="str">
        <f>IF(AND(E23&lt;&gt;"Schedule40",H24&lt;&gt;0),"Pipe Type Adjustment=","")</f>
        <v/>
      </c>
      <c r="L23" s="131"/>
      <c r="M23" s="131"/>
      <c r="N23" s="131"/>
      <c r="O23" s="131"/>
      <c r="P23" s="131"/>
      <c r="Q23" s="73" t="str">
        <f>IF(OR(E23="Schedule40",H24=0),"",IF(E23="Schedule10",HLOOKUP(F23,T76:AF81,2,FALSE),IF(E23="Schedule30",HLOOKUP(F23,T76:AF81,3,FALSE),IF(E23="Schedule80",HLOOKUP(F23,T76:AF81,5,FALSE),IF(E23="CMNTLND52",HLOOKUP(F23,T76:AF81,6,FALSE))))))</f>
        <v/>
      </c>
    </row>
    <row r="24" spans="2:17" x14ac:dyDescent="0.3">
      <c r="B24" s="94" t="s">
        <v>77</v>
      </c>
      <c r="C24" s="94">
        <v>0</v>
      </c>
      <c r="D24" s="96">
        <f>IF(OR(B21="Test",B23="",B23=0,D21=""),"",D21+D23)</f>
        <v>750</v>
      </c>
      <c r="E24" s="92"/>
      <c r="F24" s="96">
        <f>IF(E23="Schedule10",VLOOKUP(F23,S58:T70,2,FALSE),IF(E23="Schedule30",VLOOKUP(F23,V58:W59,2,FALSE),IF(E23="Schedule40",VLOOKUP(F23,Y58:Z70,2,FALSE),IF(E23="Schedule80",VLOOKUP(F23,AB58:AC70,2,FALSE),IF(E23="CMNTLND52",VLOOKUP(F23,AE58:AF63,2,FALSE))))))</f>
        <v>6.0650000000000004</v>
      </c>
      <c r="G24" s="44">
        <v>0</v>
      </c>
      <c r="H24" s="45">
        <f>G23+G24+G25</f>
        <v>49</v>
      </c>
      <c r="I24" s="89">
        <f>IF(OR(B23="Test",B23=0),"",(4.52*D24^1.85)/((I23^1.85)*(F24^4.87)))</f>
        <v>2.0660006107108726E-2</v>
      </c>
      <c r="J24" s="46">
        <f>IF(B24=0,"",(C23-C24)*0.433)</f>
        <v>0</v>
      </c>
      <c r="K24" s="74" t="str">
        <f t="shared" si="8"/>
        <v/>
      </c>
      <c r="L24" s="75" t="str">
        <f t="shared" si="9"/>
        <v/>
      </c>
      <c r="M24" s="75" t="str">
        <f t="shared" si="10"/>
        <v/>
      </c>
      <c r="N24" s="75" t="str">
        <f t="shared" si="11"/>
        <v/>
      </c>
      <c r="O24" s="75" t="str">
        <f t="shared" si="12"/>
        <v/>
      </c>
      <c r="P24" s="76" t="str">
        <f t="shared" si="13"/>
        <v/>
      </c>
      <c r="Q24" s="77" t="str">
        <f t="shared" si="6"/>
        <v/>
      </c>
    </row>
    <row r="25" spans="2:17" ht="15" thickBot="1" x14ac:dyDescent="0.35">
      <c r="B25" s="95"/>
      <c r="C25" s="95"/>
      <c r="D25" s="97"/>
      <c r="E25" s="93"/>
      <c r="F25" s="97"/>
      <c r="G25" s="47">
        <v>0</v>
      </c>
      <c r="H25" s="48">
        <f>H23+H24</f>
        <v>249</v>
      </c>
      <c r="I25" s="90"/>
      <c r="J25" s="49">
        <f>IF(B24=0,"",H25*I24)</f>
        <v>5.1443415206700731</v>
      </c>
      <c r="K25" s="104" t="str">
        <f>IF(OR(H24=0,I23=120),"",IF(I23=100,"C Factor Adjustment=0.713",IF(I23=130,"C Factor Adjustment=1.16",IF(I23=140,"C Factor Adjustment=1.33",IF(I23=150,"C Factor Adjustment=1.51")))))</f>
        <v/>
      </c>
      <c r="L25" s="105"/>
      <c r="M25" s="105"/>
      <c r="N25" s="105"/>
      <c r="O25" s="105"/>
      <c r="P25" s="105"/>
      <c r="Q25" s="106"/>
    </row>
    <row r="26" spans="2:17" ht="27" customHeight="1" x14ac:dyDescent="0.3">
      <c r="B26" s="40" t="s">
        <v>77</v>
      </c>
      <c r="C26" s="40">
        <v>0</v>
      </c>
      <c r="D26" s="68">
        <v>0</v>
      </c>
      <c r="E26" s="91" t="s">
        <v>5</v>
      </c>
      <c r="F26" s="42">
        <v>6</v>
      </c>
      <c r="G26" s="40">
        <v>63.2</v>
      </c>
      <c r="H26" s="40">
        <v>75</v>
      </c>
      <c r="I26" s="42">
        <v>140</v>
      </c>
      <c r="J26" s="43">
        <f>IF(D24="","",J23+J24+J25)</f>
        <v>137.06182387139646</v>
      </c>
      <c r="K26" s="130" t="str">
        <f>IF(AND(E26&lt;&gt;"Schedule40",H27&lt;&gt;0),"Pipe Type Adjustment=","")</f>
        <v>Pipe Type Adjustment=</v>
      </c>
      <c r="L26" s="131"/>
      <c r="M26" s="131"/>
      <c r="N26" s="131"/>
      <c r="O26" s="131"/>
      <c r="P26" s="131"/>
      <c r="Q26" s="73">
        <f>IF(OR(E26="Schedule40",H27=0),"",IF(E26="Schedule10",HLOOKUP(F26,T76:AF81,2,FALSE),IF(E26="Schedule30",HLOOKUP(F26,T76:AF81,3,FALSE),IF(E26="Schedule80",HLOOKUP(F26,T76:AF81,5,FALSE),IF(E26="CMNTLND52",HLOOKUP(F26,T76:AF81,6,FALSE))))))</f>
        <v>1.08</v>
      </c>
    </row>
    <row r="27" spans="2:17" x14ac:dyDescent="0.3">
      <c r="B27" s="94" t="s">
        <v>64</v>
      </c>
      <c r="C27" s="94">
        <v>0</v>
      </c>
      <c r="D27" s="96">
        <f>IF(OR(B24="Test",B26="",B26=0,D24=""),"",D24+D26)</f>
        <v>750</v>
      </c>
      <c r="E27" s="92"/>
      <c r="F27" s="96">
        <f>IF(E26="Schedule10",VLOOKUP(F26,S58:T70,2,FALSE),IF(E26="Schedule30",VLOOKUP(F26,V58:W59,2,FALSE),IF(E26="Schedule40",VLOOKUP(F26,Y58:Z70,2,FALSE),IF(E26="Schedule80",VLOOKUP(F26,AB58:AC70,2,FALSE),IF(E26="CMNTLND52",VLOOKUP(F26,AE58:AF63,2,FALSE))))))</f>
        <v>6.16</v>
      </c>
      <c r="G27" s="44">
        <v>0</v>
      </c>
      <c r="H27" s="45">
        <f>G26+G27+G28</f>
        <v>63.2</v>
      </c>
      <c r="I27" s="89">
        <f>IF(OR(B26="Test",B26=0),"",(4.52*D27^1.85)/((I26^1.85)*(F27^4.87)))</f>
        <v>1.4401470456942046E-2</v>
      </c>
      <c r="J27" s="46">
        <f>IF(B27=0,"",(C26-C27)*0.433)</f>
        <v>0</v>
      </c>
      <c r="K27" s="74" t="str">
        <f t="shared" si="8"/>
        <v/>
      </c>
      <c r="L27" s="75" t="str">
        <f t="shared" si="9"/>
        <v/>
      </c>
      <c r="M27" s="75" t="str">
        <f t="shared" si="10"/>
        <v/>
      </c>
      <c r="N27" s="75" t="str">
        <f t="shared" si="11"/>
        <v/>
      </c>
      <c r="O27" s="75" t="str">
        <f t="shared" si="12"/>
        <v/>
      </c>
      <c r="P27" s="76" t="str">
        <f t="shared" si="13"/>
        <v/>
      </c>
      <c r="Q27" s="77" t="str">
        <f t="shared" si="6"/>
        <v/>
      </c>
    </row>
    <row r="28" spans="2:17" ht="15" thickBot="1" x14ac:dyDescent="0.35">
      <c r="B28" s="95"/>
      <c r="C28" s="95"/>
      <c r="D28" s="97"/>
      <c r="E28" s="93"/>
      <c r="F28" s="97"/>
      <c r="G28" s="47">
        <v>0</v>
      </c>
      <c r="H28" s="48">
        <f>H26+H27</f>
        <v>138.19999999999999</v>
      </c>
      <c r="I28" s="90"/>
      <c r="J28" s="49">
        <f>IF(B27=0,"",H28*I27)</f>
        <v>1.9902832171493907</v>
      </c>
      <c r="K28" s="104" t="str">
        <f>IF(OR(H27=0,I26=120),"",IF(I26=100,"C Factor Adjustment=0.713",IF(I26=130,"C Factor Adjustment=1.16",IF(I26=140,"C Factor Adjustment=1.33",IF(I26=150,"C Factor Adjustment=1.51")))))</f>
        <v>C Factor Adjustment=1.33</v>
      </c>
      <c r="L28" s="105"/>
      <c r="M28" s="105"/>
      <c r="N28" s="105"/>
      <c r="O28" s="105"/>
      <c r="P28" s="105"/>
      <c r="Q28" s="106"/>
    </row>
    <row r="29" spans="2:17" ht="29.4" customHeight="1" x14ac:dyDescent="0.3">
      <c r="B29" s="40" t="s">
        <v>64</v>
      </c>
      <c r="C29" s="40">
        <v>0</v>
      </c>
      <c r="D29" s="68">
        <v>0</v>
      </c>
      <c r="E29" s="91" t="s">
        <v>9</v>
      </c>
      <c r="F29" s="42">
        <v>6</v>
      </c>
      <c r="G29" s="40">
        <v>12</v>
      </c>
      <c r="H29" s="40">
        <v>5</v>
      </c>
      <c r="I29" s="42">
        <v>120</v>
      </c>
      <c r="J29" s="43">
        <f>IF(D27="","",J26+J27+J28)</f>
        <v>139.05210708854585</v>
      </c>
      <c r="K29" s="130" t="str">
        <f>IF(AND(E29&lt;&gt;"Schedule40",H30&lt;&gt;0),"Pipe Type Adjustment=","")</f>
        <v/>
      </c>
      <c r="L29" s="131"/>
      <c r="M29" s="131"/>
      <c r="N29" s="131"/>
      <c r="O29" s="131"/>
      <c r="P29" s="131"/>
      <c r="Q29" s="73" t="str">
        <f>IF(OR(E29="Schedule40",H30=0),"",IF(E29="Schedule10",HLOOKUP(F29,T76:AF81,2,FALSE),IF(E29="Schedule30",HLOOKUP(F29,T76:AF81,3,FALSE),IF(E29="Schedule80",HLOOKUP(F29,T76:AF81,5,FALSE),IF(E29="CMNTLND52",HLOOKUP(F29,T76:AF81,6,FALSE))))))</f>
        <v/>
      </c>
    </row>
    <row r="30" spans="2:17" x14ac:dyDescent="0.3">
      <c r="B30" s="94"/>
      <c r="C30" s="94">
        <v>0</v>
      </c>
      <c r="D30" s="96" t="str">
        <f>IF(OR(B27="Test",B29="",B29=0,B27=0),"",D27+D29)</f>
        <v/>
      </c>
      <c r="E30" s="92"/>
      <c r="F30" s="96">
        <f>IF(E29="Schedule10",VLOOKUP(F29,S58:T70,2,FALSE),IF(E29="Schedule30",VLOOKUP(F29,V58:W59,2,FALSE),IF(E29="Schedule40",VLOOKUP(F29,Y58:Z70,2,FALSE),IF(E29="Schedule80",VLOOKUP(F29,AB58:AC70,2,FALSE),IF(E29="CMNTLND52",VLOOKUP(F29,AE58:AF63,2,FALSE))))))</f>
        <v>6.0650000000000004</v>
      </c>
      <c r="G30" s="44">
        <v>2</v>
      </c>
      <c r="H30" s="45">
        <f>G29+G30+G31</f>
        <v>14</v>
      </c>
      <c r="I30" s="89" t="str">
        <f>IF(OR(B29="Test",B29=0),"",(4.52*D30^1.85)/((I29^1.85)*(F30^4.87)))</f>
        <v/>
      </c>
      <c r="J30" s="46" t="str">
        <f>IF(B30=0,"",(C29-C30)*0.433)</f>
        <v/>
      </c>
      <c r="K30" s="74" t="str">
        <f t="shared" si="8"/>
        <v/>
      </c>
      <c r="L30" s="75" t="str">
        <f t="shared" si="9"/>
        <v/>
      </c>
      <c r="M30" s="75" t="str">
        <f t="shared" si="10"/>
        <v/>
      </c>
      <c r="N30" s="75" t="str">
        <f t="shared" si="11"/>
        <v/>
      </c>
      <c r="O30" s="75" t="str">
        <f t="shared" si="12"/>
        <v/>
      </c>
      <c r="P30" s="76" t="str">
        <f t="shared" si="13"/>
        <v/>
      </c>
      <c r="Q30" s="77" t="str">
        <f t="shared" si="6"/>
        <v/>
      </c>
    </row>
    <row r="31" spans="2:17" ht="15" thickBot="1" x14ac:dyDescent="0.35">
      <c r="B31" s="95"/>
      <c r="C31" s="95"/>
      <c r="D31" s="97"/>
      <c r="E31" s="93"/>
      <c r="F31" s="97"/>
      <c r="G31" s="47">
        <v>0</v>
      </c>
      <c r="H31" s="48">
        <f>H29+H30</f>
        <v>19</v>
      </c>
      <c r="I31" s="90"/>
      <c r="J31" s="49" t="str">
        <f>IF(B30=0,"",H31*I30)</f>
        <v/>
      </c>
      <c r="K31" s="104" t="str">
        <f>IF(OR(H30=0,I29=120),"",IF(I29=100,"C Factor Adjustment=0.713",IF(I29=130,"C Factor Adjustment=1.16",IF(I29=140,"C Factor Adjustment=1.33",IF(I29=150,"C Factor Adjustment=1.51")))))</f>
        <v/>
      </c>
      <c r="L31" s="105"/>
      <c r="M31" s="105"/>
      <c r="N31" s="105"/>
      <c r="O31" s="105"/>
      <c r="P31" s="105"/>
      <c r="Q31" s="106"/>
    </row>
    <row r="32" spans="2:17" ht="29.4" customHeight="1" x14ac:dyDescent="0.3">
      <c r="B32" s="40"/>
      <c r="C32" s="40">
        <v>0</v>
      </c>
      <c r="D32" s="68">
        <v>0</v>
      </c>
      <c r="E32" s="91" t="s">
        <v>9</v>
      </c>
      <c r="F32" s="42">
        <v>4</v>
      </c>
      <c r="G32" s="40">
        <v>0</v>
      </c>
      <c r="H32" s="40">
        <v>248</v>
      </c>
      <c r="I32" s="42">
        <v>120</v>
      </c>
      <c r="J32" s="43" t="str">
        <f>IF(D30="","",J29+J30+J31)</f>
        <v/>
      </c>
      <c r="K32" s="113" t="str">
        <f>IF(AND(E32&lt;&gt;"Schedule40",H33&lt;&gt;0),"Pipe Type Adjustment=","")</f>
        <v/>
      </c>
      <c r="L32" s="114"/>
      <c r="M32" s="114"/>
      <c r="N32" s="114"/>
      <c r="O32" s="114"/>
      <c r="P32" s="114"/>
      <c r="Q32" s="79" t="str">
        <f>IF(OR(E32="Schedule40",H33=0),"",IF(E32="Schedule10",HLOOKUP(F32,T76:AF81,2,FALSE),IF(E32="Schedule30",HLOOKUP(F32,T76:AF81,3,FALSE),IF(E32="Schedule80",HLOOKUP(F32,T76:AF81,5,FALSE),IF(E32="CMNTLND52",HLOOKUP(F32,T76:AF81,6,FALSE))))))</f>
        <v/>
      </c>
    </row>
    <row r="33" spans="2:19" x14ac:dyDescent="0.3">
      <c r="B33" s="94"/>
      <c r="C33" s="94">
        <v>0</v>
      </c>
      <c r="D33" s="96" t="str">
        <f>IF(OR(B30="Test",B32="",B32=0,D30=""),"",D30+D32)</f>
        <v/>
      </c>
      <c r="E33" s="92"/>
      <c r="F33" s="96">
        <f>IF(E32="Schedule10",VLOOKUP(F32,S58:T70,2,FALSE),IF(E32="Schedule30",VLOOKUP(F32,V58:W59,2,FALSE),IF(E32="Schedule40",VLOOKUP(F32,Y58:Z70,2,FALSE),IF(E32="Schedule80",VLOOKUP(F32,AB58:AC70,2,FALSE),IF(E32="CMNTLND52",VLOOKUP(F32,AE58:AF63,2,FALSE))))))</f>
        <v>4.0259999999999998</v>
      </c>
      <c r="G33" s="44">
        <v>0</v>
      </c>
      <c r="H33" s="45">
        <f>G32+G33+G34</f>
        <v>0</v>
      </c>
      <c r="I33" s="89" t="str">
        <f>IF(OR(B32=0,B32="Test"),"",(4.52*D33^1.85)/((I32^1.85)*(F33^4.87)))</f>
        <v/>
      </c>
      <c r="J33" s="46" t="str">
        <f>IF(B33=0,"",(C32-C33)*0.433)</f>
        <v/>
      </c>
      <c r="K33" s="74" t="str">
        <f t="shared" si="8"/>
        <v/>
      </c>
      <c r="L33" s="75" t="str">
        <f t="shared" si="9"/>
        <v/>
      </c>
      <c r="M33" s="75" t="str">
        <f t="shared" si="10"/>
        <v/>
      </c>
      <c r="N33" s="75" t="str">
        <f t="shared" si="11"/>
        <v/>
      </c>
      <c r="O33" s="75" t="str">
        <f t="shared" si="12"/>
        <v/>
      </c>
      <c r="P33" s="76" t="str">
        <f t="shared" si="13"/>
        <v/>
      </c>
      <c r="Q33" s="77" t="str">
        <f t="shared" si="7"/>
        <v/>
      </c>
    </row>
    <row r="34" spans="2:19" ht="15" thickBot="1" x14ac:dyDescent="0.35">
      <c r="B34" s="95"/>
      <c r="C34" s="95"/>
      <c r="D34" s="97"/>
      <c r="E34" s="93"/>
      <c r="F34" s="97"/>
      <c r="G34" s="47">
        <v>0</v>
      </c>
      <c r="H34" s="48">
        <f>H32+H33</f>
        <v>248</v>
      </c>
      <c r="I34" s="90"/>
      <c r="J34" s="49" t="str">
        <f>IF(B33=0,"",H34*I33)</f>
        <v/>
      </c>
      <c r="K34" s="104" t="str">
        <f>IF(OR(H33=0,I32=120),"",IF(I32=100,"C Factor Adjustment=0.713",IF(I32=130,"C Factor Adjustment=1.16",IF(I32=140,"C Factor Adjustment=1.33",IF(I32=150,"C Factor Adjustment=1.51")))))</f>
        <v/>
      </c>
      <c r="L34" s="105"/>
      <c r="M34" s="105"/>
      <c r="N34" s="105"/>
      <c r="O34" s="105"/>
      <c r="P34" s="105"/>
      <c r="Q34" s="106"/>
    </row>
    <row r="35" spans="2:19" ht="27" customHeight="1" x14ac:dyDescent="0.3">
      <c r="B35" s="40"/>
      <c r="C35" s="40">
        <v>0</v>
      </c>
      <c r="D35" s="68">
        <v>250</v>
      </c>
      <c r="E35" s="91" t="s">
        <v>9</v>
      </c>
      <c r="F35" s="42">
        <v>4</v>
      </c>
      <c r="G35" s="40">
        <v>22</v>
      </c>
      <c r="H35" s="40">
        <v>198.5</v>
      </c>
      <c r="I35" s="42">
        <v>120</v>
      </c>
      <c r="J35" s="43" t="str">
        <f>IF(D33="","",J32+J33+J34)</f>
        <v/>
      </c>
      <c r="K35" s="113" t="str">
        <f>IF(AND(E35&lt;&gt;"Schedule40",H36&lt;&gt;0),"Pipe Type Adjustment=","")</f>
        <v/>
      </c>
      <c r="L35" s="114"/>
      <c r="M35" s="114"/>
      <c r="N35" s="114"/>
      <c r="O35" s="114"/>
      <c r="P35" s="114"/>
      <c r="Q35" s="79" t="str">
        <f>IF(OR(E35="Schedule40",H36=0),"",IF(E35="Schedule10",HLOOKUP(F35,T76:AF81,2,FALSE),IF(E35="Schedule30",HLOOKUP(F35,T76:AF81,3,FALSE),IF(E35="Schedule80",HLOOKUP(F35,T76:AF81,5,FALSE),IF(E35="CMNTLND52",HLOOKUP(F35,T76:AF81,6,FALSE))))))</f>
        <v/>
      </c>
    </row>
    <row r="36" spans="2:19" x14ac:dyDescent="0.3">
      <c r="B36" s="94"/>
      <c r="C36" s="94">
        <v>0</v>
      </c>
      <c r="D36" s="96" t="str">
        <f>IF(OR(B33="Test",B35="",B35=0,D33=""),"",D33+D35)</f>
        <v/>
      </c>
      <c r="E36" s="92"/>
      <c r="F36" s="96">
        <f>IF(E35="Schedule10",VLOOKUP(F35,S58:T70,2,FALSE),IF(E35="Schedule30",VLOOKUP(F35,V58:W59,2,FALSE),IF(E35="Schedule40",VLOOKUP(F35,Y58:Z70,2,FALSE),IF(E35="Schedule80",VLOOKUP(F35,AB58:AC70,2,FALSE),IF(E35="CMNTLND52",VLOOKUP(F35,AE58:AF63,2,FALSE))))))</f>
        <v>4.0259999999999998</v>
      </c>
      <c r="G36" s="44">
        <v>2</v>
      </c>
      <c r="H36" s="45">
        <f>G35+G36+G37</f>
        <v>34</v>
      </c>
      <c r="I36" s="89" t="str">
        <f>IF(OR(B35=0,B35="Test"),"",(4.52*D36^1.85)/((I35^1.85)*(F36^4.87)))</f>
        <v/>
      </c>
      <c r="J36" s="46" t="str">
        <f>IF(B36=0,"",(C35-C36)*0.433)</f>
        <v/>
      </c>
      <c r="K36" s="74" t="str">
        <f t="shared" si="8"/>
        <v/>
      </c>
      <c r="L36" s="75" t="str">
        <f t="shared" si="9"/>
        <v/>
      </c>
      <c r="M36" s="75" t="str">
        <f t="shared" si="10"/>
        <v/>
      </c>
      <c r="N36" s="75" t="str">
        <f t="shared" si="11"/>
        <v/>
      </c>
      <c r="O36" s="75" t="str">
        <f t="shared" si="12"/>
        <v/>
      </c>
      <c r="P36" s="76" t="str">
        <f t="shared" si="13"/>
        <v/>
      </c>
      <c r="Q36" s="77" t="str">
        <f t="shared" si="6"/>
        <v/>
      </c>
    </row>
    <row r="37" spans="2:19" ht="15" customHeight="1" thickBot="1" x14ac:dyDescent="0.35">
      <c r="B37" s="95"/>
      <c r="C37" s="95"/>
      <c r="D37" s="97"/>
      <c r="E37" s="93"/>
      <c r="F37" s="97"/>
      <c r="G37" s="47">
        <v>10</v>
      </c>
      <c r="H37" s="48">
        <f>H35+H36</f>
        <v>232.5</v>
      </c>
      <c r="I37" s="90"/>
      <c r="J37" s="49" t="str">
        <f>IF(B36=0,"",H37*I36)</f>
        <v/>
      </c>
      <c r="K37" s="104" t="str">
        <f>IF(OR(H36=0,I35=120),"",IF(I35=100,"C Factor Adjustment=0.713",IF(I35=130,"C Factor Adjustment=1.16",IF(I35=140,"C Factor Adjustment=1.33",IF(I35=150,"C Factor Adjustment=1.51")))))</f>
        <v/>
      </c>
      <c r="L37" s="105"/>
      <c r="M37" s="105"/>
      <c r="N37" s="105"/>
      <c r="O37" s="105"/>
      <c r="P37" s="105"/>
      <c r="Q37" s="106"/>
    </row>
    <row r="38" spans="2:19" ht="30" customHeight="1" x14ac:dyDescent="0.3">
      <c r="B38" s="50"/>
      <c r="C38" s="50">
        <v>0</v>
      </c>
      <c r="D38" s="69">
        <v>0</v>
      </c>
      <c r="E38" s="82" t="s">
        <v>5</v>
      </c>
      <c r="F38" s="51">
        <v>6</v>
      </c>
      <c r="G38" s="50">
        <v>20.100000000000001</v>
      </c>
      <c r="H38" s="50">
        <v>75</v>
      </c>
      <c r="I38" s="42">
        <v>140</v>
      </c>
      <c r="J38" s="52" t="str">
        <f>IF(D36="","",J35+J36+J37)</f>
        <v/>
      </c>
      <c r="K38" s="113" t="str">
        <f>IF(AND(E38&lt;&gt;"Schedule40",H39&lt;&gt;0),"Pipe Type Adjustment=","")</f>
        <v>Pipe Type Adjustment=</v>
      </c>
      <c r="L38" s="114"/>
      <c r="M38" s="114"/>
      <c r="N38" s="114"/>
      <c r="O38" s="114"/>
      <c r="P38" s="114"/>
      <c r="Q38" s="79">
        <f>IF(OR(E38="Schedule40",H39=0),"",IF(E38="Schedule10",HLOOKUP(F38,T76:AF81,2,FALSE),IF(E38="Schedule30",HLOOKUP(F38,T76:AF81,3,FALSE),IF(E38="Schedule80",HLOOKUP(F38,T76:AF81,5,FALSE),IF(E38="CMNTLND52",HLOOKUP(F38,T76:AF81,6,FALSE))))))</f>
        <v>1.08</v>
      </c>
    </row>
    <row r="39" spans="2:19" x14ac:dyDescent="0.3">
      <c r="B39" s="85"/>
      <c r="C39" s="85">
        <v>0</v>
      </c>
      <c r="D39" s="87" t="str">
        <f>IF(OR(B36="Test",B38="",B38=0,D36=""),"",D36+D38)</f>
        <v/>
      </c>
      <c r="E39" s="83"/>
      <c r="F39" s="87">
        <f>IF(E38="Schedule10",VLOOKUP(F38,S58:T70,2,FALSE),IF(E38="Schedule30",VLOOKUP(F38,V58:W59,2,FALSE),IF(E38="Schedule40",VLOOKUP(F38,Y58:Z70,2,FALSE),IF(E38="Schedule80",VLOOKUP(F38,AB58:AC70,2,FALSE),IF(E38="CMNTLND52",VLOOKUP(F38,AE58:AF63,2,FALSE))))))</f>
        <v>6.16</v>
      </c>
      <c r="G39" s="53">
        <v>43.1</v>
      </c>
      <c r="H39" s="54">
        <f>G38+G39+G40</f>
        <v>63.2</v>
      </c>
      <c r="I39" s="80" t="str">
        <f>IF(OR(B38=0,B38="Test"),"",(4.52*D39^1.85)/((I38^1.85)*(F39^4.87)))</f>
        <v/>
      </c>
      <c r="J39" s="55" t="str">
        <f>IF(B39=0,"",(C38-C39)*0.433)</f>
        <v/>
      </c>
      <c r="K39" s="74" t="str">
        <f t="shared" si="8"/>
        <v/>
      </c>
      <c r="L39" s="75" t="str">
        <f t="shared" si="9"/>
        <v/>
      </c>
      <c r="M39" s="75" t="str">
        <f t="shared" si="10"/>
        <v/>
      </c>
      <c r="N39" s="75" t="str">
        <f t="shared" si="11"/>
        <v/>
      </c>
      <c r="O39" s="75" t="str">
        <f t="shared" si="12"/>
        <v/>
      </c>
      <c r="P39" s="76" t="str">
        <f t="shared" si="13"/>
        <v/>
      </c>
      <c r="Q39" s="77" t="str">
        <f t="shared" si="6"/>
        <v/>
      </c>
    </row>
    <row r="40" spans="2:19" ht="15" thickBot="1" x14ac:dyDescent="0.35">
      <c r="B40" s="86"/>
      <c r="C40" s="86"/>
      <c r="D40" s="88"/>
      <c r="E40" s="84"/>
      <c r="F40" s="88"/>
      <c r="G40" s="56">
        <v>0</v>
      </c>
      <c r="H40" s="57">
        <f>H38+H39</f>
        <v>138.19999999999999</v>
      </c>
      <c r="I40" s="81"/>
      <c r="J40" s="58" t="str">
        <f>IF(B39=0,"",H40*I39)</f>
        <v/>
      </c>
      <c r="K40" s="104" t="str">
        <f>IF(OR(H39=0,I38=120),"",IF(I38=100,"C Factor Adjustment=0.713",IF(I38=130,"C Factor Adjustment=1.16",IF(I38=140,"C Factor Adjustment=1.33",IF(I38=150,"C Factor Adjustment=1.51")))))</f>
        <v>C Factor Adjustment=1.33</v>
      </c>
      <c r="L40" s="105"/>
      <c r="M40" s="105"/>
      <c r="N40" s="105"/>
      <c r="O40" s="105"/>
      <c r="P40" s="105"/>
      <c r="Q40" s="106"/>
    </row>
    <row r="41" spans="2:19" ht="28.8" customHeight="1" x14ac:dyDescent="0.3">
      <c r="B41" s="50"/>
      <c r="C41" s="50">
        <v>0</v>
      </c>
      <c r="D41" s="69">
        <v>0</v>
      </c>
      <c r="E41" s="82" t="s">
        <v>9</v>
      </c>
      <c r="F41" s="51">
        <v>4</v>
      </c>
      <c r="G41" s="50">
        <v>0</v>
      </c>
      <c r="H41" s="50">
        <v>0</v>
      </c>
      <c r="I41" s="42">
        <v>120</v>
      </c>
      <c r="J41" s="52" t="str">
        <f>IF(D39="","",J38+J39+J40)</f>
        <v/>
      </c>
      <c r="K41" s="113" t="str">
        <f>IF(AND(E41&lt;&gt;"Schedule40",H42&lt;&gt;0),"Pipe Type Adjustment=","")</f>
        <v/>
      </c>
      <c r="L41" s="114"/>
      <c r="M41" s="114"/>
      <c r="N41" s="114"/>
      <c r="O41" s="114"/>
      <c r="P41" s="114"/>
      <c r="Q41" s="79" t="str">
        <f>IF(OR(E41="Schedule40",H42=0),"",IF(E41="Schedule10",HLOOKUP(F41,T76:AF81,2,FALSE),IF(E41="Schedule30",HLOOKUP(F41,T76:AF81,3,FALSE),IF(E41="Schedule80",HLOOKUP(F41,T76:AF81,5,FALSE),IF(E41="CMNTLND52",HLOOKUP(F41,T76:AF81,6,FALSE))))))</f>
        <v/>
      </c>
    </row>
    <row r="42" spans="2:19" x14ac:dyDescent="0.3">
      <c r="B42" s="85"/>
      <c r="C42" s="85">
        <v>0</v>
      </c>
      <c r="D42" s="87" t="str">
        <f>IF(OR(B39="Test",B41="",B41=0,D39=""),"",D39+D41)</f>
        <v/>
      </c>
      <c r="E42" s="83"/>
      <c r="F42" s="87">
        <f>IF(E41="Schedule10",VLOOKUP(F41,S58:T70,2,FALSE),IF(E41="Schedule30",VLOOKUP(F41,V58:W59,2,FALSE),IF(E41="Schedule40",VLOOKUP(F41,Y58:Z70,2,FALSE),IF(E41="Schedule80",VLOOKUP(F41,AB58:AC70,2,FALSE),IF(E41="CMNTLND52",VLOOKUP(F41,AE58:AF63,2,FALSE))))))</f>
        <v>4.0259999999999998</v>
      </c>
      <c r="G42" s="53">
        <v>0</v>
      </c>
      <c r="H42" s="54">
        <f>G41+G42+G43</f>
        <v>0</v>
      </c>
      <c r="I42" s="80" t="str">
        <f>IF(OR(B41="Test",B41=0),"",(4.52*D42^1.85)/((I41^1.85)*(F42^4.87)))</f>
        <v/>
      </c>
      <c r="J42" s="55" t="str">
        <f>IF(B42=0,"",(C41-C42)*0.433)</f>
        <v/>
      </c>
      <c r="K42" s="74" t="str">
        <f t="shared" si="8"/>
        <v/>
      </c>
      <c r="L42" s="75" t="str">
        <f t="shared" si="9"/>
        <v/>
      </c>
      <c r="M42" s="75" t="str">
        <f t="shared" si="10"/>
        <v/>
      </c>
      <c r="N42" s="75" t="str">
        <f t="shared" si="11"/>
        <v/>
      </c>
      <c r="O42" s="75" t="str">
        <f t="shared" si="12"/>
        <v/>
      </c>
      <c r="P42" s="76" t="str">
        <f t="shared" si="13"/>
        <v/>
      </c>
      <c r="Q42" s="77" t="str">
        <f t="shared" si="6"/>
        <v/>
      </c>
    </row>
    <row r="43" spans="2:19" ht="15" thickBot="1" x14ac:dyDescent="0.35">
      <c r="B43" s="86"/>
      <c r="C43" s="86"/>
      <c r="D43" s="88"/>
      <c r="E43" s="84"/>
      <c r="F43" s="88"/>
      <c r="G43" s="56">
        <v>0</v>
      </c>
      <c r="H43" s="57">
        <f>H41+H42</f>
        <v>0</v>
      </c>
      <c r="I43" s="81"/>
      <c r="J43" s="58" t="str">
        <f>IF(B42=0,"",H43*I42)</f>
        <v/>
      </c>
      <c r="K43" s="104" t="str">
        <f>IF(OR(H42=0,I41=120),"",IF(I41=100,"C Factor Adjustment=0.713",IF(I41=130,"C Factor Adjustment=1.16",IF(I41=140,"C Factor Adjustment=1.33",IF(I41=150,"C Factor Adjustment=1.51")))))</f>
        <v/>
      </c>
      <c r="L43" s="105"/>
      <c r="M43" s="105"/>
      <c r="N43" s="105"/>
      <c r="O43" s="105"/>
      <c r="P43" s="105"/>
      <c r="Q43" s="106"/>
    </row>
    <row r="44" spans="2:19" ht="29.4" customHeight="1" x14ac:dyDescent="0.3">
      <c r="B44" s="50"/>
      <c r="C44" s="50">
        <v>0</v>
      </c>
      <c r="D44" s="69">
        <v>0</v>
      </c>
      <c r="E44" s="82" t="s">
        <v>9</v>
      </c>
      <c r="F44" s="51">
        <v>4</v>
      </c>
      <c r="G44" s="50">
        <v>0</v>
      </c>
      <c r="H44" s="50">
        <v>0</v>
      </c>
      <c r="I44" s="42">
        <v>120</v>
      </c>
      <c r="J44" s="52" t="str">
        <f>IF(D42="","",J41+J42+J43)</f>
        <v/>
      </c>
      <c r="K44" s="113" t="str">
        <f>IF(AND(E44&lt;&gt;"Schedule40",H45&lt;&gt;0),"Pipe Type Adjustment=","")</f>
        <v/>
      </c>
      <c r="L44" s="114"/>
      <c r="M44" s="114"/>
      <c r="N44" s="114"/>
      <c r="O44" s="114"/>
      <c r="P44" s="114"/>
      <c r="Q44" s="79" t="str">
        <f>IF(OR(E44="Schedule40",H45=0),"",IF(E44="Schedule10",HLOOKUP(F44,T76:AF81,2,FALSE),IF(E44="Schedule30",HLOOKUP(F44,T76:AF81,3,FALSE),IF(E44="Schedule80",HLOOKUP(F44,T76:AF81,5,FALSE),IF(E44="CMNTLND52",HLOOKUP(F44,T76:AF81,6,FALSE))))))</f>
        <v/>
      </c>
    </row>
    <row r="45" spans="2:19" x14ac:dyDescent="0.3">
      <c r="B45" s="85"/>
      <c r="C45" s="85">
        <v>0</v>
      </c>
      <c r="D45" s="87" t="str">
        <f>IF(OR(B42="Test",B44="",B44=0,D42=""),"",D42+D44)</f>
        <v/>
      </c>
      <c r="E45" s="83"/>
      <c r="F45" s="87">
        <f>IF(E44="Schedule10",VLOOKUP(F44,S58:T70,2,FALSE),IF(E44="Schedule30",VLOOKUP(F44,V58:W59,2,FALSE),IF(E44="Schedule40",VLOOKUP(F44,Y58:Z70,2,FALSE),IF(E44="Schedule80",VLOOKUP(F44,AB58:AC70,2,FALSE),IF(E44="CMNTLND52",VLOOKUP(F44,AE58:AF63,2,FALSE))))))</f>
        <v>4.0259999999999998</v>
      </c>
      <c r="G45" s="53">
        <v>0</v>
      </c>
      <c r="H45" s="54">
        <f>G44+G45+G46</f>
        <v>0</v>
      </c>
      <c r="I45" s="80" t="str">
        <f>IF(OR(B44=0,B44="Test"),"",(4.52*D45^1.85)/((I44^1.85)*(F45^4.87)))</f>
        <v/>
      </c>
      <c r="J45" s="55" t="str">
        <f>IF(B45=0,"",(C44-C45)*0.433)</f>
        <v/>
      </c>
      <c r="K45" s="74" t="str">
        <f t="shared" si="8"/>
        <v/>
      </c>
      <c r="L45" s="75" t="str">
        <f t="shared" si="9"/>
        <v/>
      </c>
      <c r="M45" s="75" t="str">
        <f t="shared" si="10"/>
        <v/>
      </c>
      <c r="N45" s="75" t="str">
        <f t="shared" si="11"/>
        <v/>
      </c>
      <c r="O45" s="75" t="str">
        <f t="shared" si="12"/>
        <v/>
      </c>
      <c r="P45" s="76" t="str">
        <f t="shared" si="13"/>
        <v/>
      </c>
      <c r="Q45" s="77" t="str">
        <f t="shared" si="6"/>
        <v/>
      </c>
    </row>
    <row r="46" spans="2:19" ht="15" thickBot="1" x14ac:dyDescent="0.35">
      <c r="B46" s="86"/>
      <c r="C46" s="86"/>
      <c r="D46" s="88"/>
      <c r="E46" s="84"/>
      <c r="F46" s="88"/>
      <c r="G46" s="56">
        <v>0</v>
      </c>
      <c r="H46" s="57">
        <f>H44+H45</f>
        <v>0</v>
      </c>
      <c r="I46" s="81"/>
      <c r="J46" s="60" t="str">
        <f>IF(B45=0,"",H46*I45)</f>
        <v/>
      </c>
      <c r="K46" s="104" t="str">
        <f>IF(OR(H45=0,I44=120),"",IF(I44=100,"C Factor Adjustment=0.713",IF(I44=130,"C Factor Adjustment=1.16",IF(I44=140,"C Factor Adjustment=1.33",IF(I44=150,"C Factor Adjustment=1.51")))))</f>
        <v/>
      </c>
      <c r="L46" s="105"/>
      <c r="M46" s="105"/>
      <c r="N46" s="105"/>
      <c r="O46" s="105"/>
      <c r="P46" s="105"/>
      <c r="Q46" s="106"/>
    </row>
    <row r="47" spans="2:19" ht="30.6" customHeight="1" x14ac:dyDescent="0.3">
      <c r="B47" s="50"/>
      <c r="C47" s="50">
        <v>0</v>
      </c>
      <c r="D47" s="69">
        <v>0</v>
      </c>
      <c r="E47" s="82" t="s">
        <v>7</v>
      </c>
      <c r="F47" s="51">
        <v>4</v>
      </c>
      <c r="G47" s="50">
        <v>0</v>
      </c>
      <c r="H47" s="50">
        <v>0</v>
      </c>
      <c r="I47" s="42">
        <v>120</v>
      </c>
      <c r="J47" s="61" t="str">
        <f>IF(D45="","",J44+J45+J46)</f>
        <v/>
      </c>
      <c r="K47" s="113" t="str">
        <f>IF(AND(E47&lt;&gt;"Schedule40",H48&lt;&gt;0),"Pipe Type Adjustment=","")</f>
        <v/>
      </c>
      <c r="L47" s="114"/>
      <c r="M47" s="114"/>
      <c r="N47" s="114"/>
      <c r="O47" s="114"/>
      <c r="P47" s="114"/>
      <c r="Q47" s="79" t="str">
        <f>IF(OR(E47="Schedule40",H48=0),"",IF(E47="Schedule10",HLOOKUP(F47,T76:AF81,2,FALSE),IF(E47="Schedule30",HLOOKUP(F47,T76:AF81,3,FALSE),IF(E47="Schedule80",HLOOKUP(F47,T76:AF81,5,FALSE),IF(E47="CMNTLND52",HLOOKUP(F47,T76:AF81,6,FALSE))))))</f>
        <v/>
      </c>
      <c r="S47" s="78"/>
    </row>
    <row r="48" spans="2:19" x14ac:dyDescent="0.3">
      <c r="B48" s="85"/>
      <c r="C48" s="85">
        <v>0</v>
      </c>
      <c r="D48" s="87" t="str">
        <f>IF(OR(B45="Test",B47="",B47=0,D45=""),"",D45+D47)</f>
        <v/>
      </c>
      <c r="E48" s="83"/>
      <c r="F48" s="87">
        <f>IF(E47="Schedule10",VLOOKUP(F47,S58:T70,2,FALSE),IF(E47="Schedule30",VLOOKUP(F47,V58:W59,2,FALSE),IF(E47="Schedule40",VLOOKUP(F47,Y58:Z70,2,FALSE),IF(E47="Schedule80",VLOOKUP(F47,AB58:AC70,2,FALSE),IF(E47="CMNTLND52",VLOOKUP(F47,AE58:AF63,2,FALSE))))))</f>
        <v>4.26</v>
      </c>
      <c r="G48" s="53">
        <v>0</v>
      </c>
      <c r="H48" s="54">
        <f>G47+G48+G49</f>
        <v>0</v>
      </c>
      <c r="I48" s="128" t="str">
        <f>IF(OR(B47="Test",B47=0),"",(4.52*D48^1.85)/((I47^1.85)*(F48^4.87)))</f>
        <v/>
      </c>
      <c r="J48" s="55" t="str">
        <f>IF(B48=0,"",(C47-C48)*0.433)</f>
        <v/>
      </c>
      <c r="K48" s="74" t="str">
        <f t="shared" si="8"/>
        <v/>
      </c>
      <c r="L48" s="75" t="str">
        <f t="shared" si="9"/>
        <v/>
      </c>
      <c r="M48" s="75" t="str">
        <f t="shared" si="10"/>
        <v/>
      </c>
      <c r="N48" s="75" t="str">
        <f t="shared" si="11"/>
        <v/>
      </c>
      <c r="O48" s="75" t="str">
        <f t="shared" si="12"/>
        <v/>
      </c>
      <c r="P48" s="76" t="str">
        <f t="shared" si="13"/>
        <v/>
      </c>
      <c r="Q48" s="77" t="str">
        <f t="shared" si="7"/>
        <v/>
      </c>
    </row>
    <row r="49" spans="2:32" ht="15" thickBot="1" x14ac:dyDescent="0.35">
      <c r="B49" s="86"/>
      <c r="C49" s="86"/>
      <c r="D49" s="88"/>
      <c r="E49" s="84"/>
      <c r="F49" s="88"/>
      <c r="G49" s="56">
        <v>0</v>
      </c>
      <c r="H49" s="57">
        <f>H47+H48</f>
        <v>0</v>
      </c>
      <c r="I49" s="129"/>
      <c r="J49" s="55" t="str">
        <f>IF(B48=0,"",H49*I48)</f>
        <v/>
      </c>
      <c r="K49" s="104" t="str">
        <f>IF(OR(H48=0,I47=120),"",IF(I47=100,"C Factor Adjustment=0.713",IF(I47=130,"C Factor Adjustment=1.16",IF(I47=140,"C Factor Adjustment=1.33",IF(I47=150,"C Factor Adjustment=1.51")))))</f>
        <v/>
      </c>
      <c r="L49" s="105"/>
      <c r="M49" s="105"/>
      <c r="N49" s="105"/>
      <c r="O49" s="105"/>
      <c r="P49" s="105"/>
      <c r="Q49" s="106"/>
    </row>
    <row r="50" spans="2:32" ht="15" thickBot="1" x14ac:dyDescent="0.35">
      <c r="J50" s="62" t="str">
        <f>IF(D48="","",J47+J48+J49)</f>
        <v/>
      </c>
    </row>
    <row r="51" spans="2:32" ht="15" thickBot="1" x14ac:dyDescent="0.35"/>
    <row r="52" spans="2:32" x14ac:dyDescent="0.3">
      <c r="H52" s="98" t="s">
        <v>71</v>
      </c>
      <c r="I52" s="99"/>
      <c r="J52" s="63">
        <f>IF(B48="Test",D48,IF(B45="Test",D45,IF(B42="Test",D42,IF(B39="Test",D39,IF(B36="Test",D36,IF(B33="Test",D33,IF(B30="Test",D30,IF(B27="Test",D27,IF(B24="Test",D24,IF(B21="Test",D21,IF(B18="Test",D18,IF(B15="Test",D15))))))))))))</f>
        <v>750</v>
      </c>
    </row>
    <row r="53" spans="2:32" ht="15" thickBot="1" x14ac:dyDescent="0.35">
      <c r="H53" s="124" t="s">
        <v>72</v>
      </c>
      <c r="I53" s="125"/>
      <c r="J53" s="64">
        <f>IF(B48="Test",J50,IF(B45="Test",J47,IF(B42="Test",J44,IF(B39="Test",J41,IF(B36="Test",J38,IF(B33="Test",J35,IF(B30="Test",J32,IF(B27="Test",J29,IF(B24="Test",J26,IF(B21="Test",J23,IF(B18="Test",J20,IF(B15="Test",J17))))))))))))</f>
        <v>139.05210708854585</v>
      </c>
    </row>
    <row r="57" spans="2:32" hidden="1" x14ac:dyDescent="0.3">
      <c r="Q57" s="72" t="s">
        <v>0</v>
      </c>
      <c r="S57" s="1" t="s">
        <v>7</v>
      </c>
      <c r="T57" s="1" t="s">
        <v>1</v>
      </c>
      <c r="V57" s="1" t="s">
        <v>8</v>
      </c>
      <c r="W57" s="1" t="s">
        <v>2</v>
      </c>
      <c r="Y57" s="1" t="s">
        <v>9</v>
      </c>
      <c r="Z57" s="1" t="s">
        <v>3</v>
      </c>
      <c r="AB57" s="1" t="s">
        <v>10</v>
      </c>
      <c r="AC57" s="1" t="s">
        <v>4</v>
      </c>
      <c r="AE57" s="1" t="s">
        <v>5</v>
      </c>
      <c r="AF57" s="1" t="s">
        <v>6</v>
      </c>
    </row>
    <row r="58" spans="2:32" hidden="1" x14ac:dyDescent="0.3">
      <c r="Q58" s="72" t="s">
        <v>7</v>
      </c>
      <c r="S58" s="2">
        <v>1</v>
      </c>
      <c r="T58" s="3">
        <v>1.097</v>
      </c>
      <c r="V58" s="4">
        <v>8</v>
      </c>
      <c r="W58" s="3">
        <v>8.0709999999999997</v>
      </c>
      <c r="Y58" s="2">
        <v>1</v>
      </c>
      <c r="Z58" s="3">
        <v>1.0489999999999999</v>
      </c>
      <c r="AB58" s="2">
        <v>1</v>
      </c>
      <c r="AC58" s="3">
        <v>0.95699999999999996</v>
      </c>
      <c r="AE58" s="4">
        <v>3</v>
      </c>
      <c r="AF58" s="3">
        <v>3.28</v>
      </c>
    </row>
    <row r="59" spans="2:32" hidden="1" x14ac:dyDescent="0.3">
      <c r="Q59" s="72" t="s">
        <v>8</v>
      </c>
      <c r="S59" s="4">
        <v>1.25</v>
      </c>
      <c r="T59" s="3">
        <v>1.4419999999999999</v>
      </c>
      <c r="V59" s="2">
        <v>10</v>
      </c>
      <c r="W59" s="3">
        <v>10.14</v>
      </c>
      <c r="Y59" s="4">
        <v>1.25</v>
      </c>
      <c r="Z59" s="3">
        <v>1.38</v>
      </c>
      <c r="AB59" s="4">
        <v>1.25</v>
      </c>
      <c r="AC59" s="3">
        <v>1.278</v>
      </c>
      <c r="AE59" s="4">
        <v>4</v>
      </c>
      <c r="AF59" s="3">
        <v>4.0999999999999996</v>
      </c>
    </row>
    <row r="60" spans="2:32" hidden="1" x14ac:dyDescent="0.3">
      <c r="Q60" s="72" t="s">
        <v>9</v>
      </c>
      <c r="S60" s="4">
        <v>1.5</v>
      </c>
      <c r="T60" s="3">
        <v>1.6819999999999999</v>
      </c>
      <c r="Y60" s="4">
        <v>1.5</v>
      </c>
      <c r="Z60" s="3">
        <v>1.61</v>
      </c>
      <c r="AB60" s="4">
        <v>1.5</v>
      </c>
      <c r="AC60" s="3">
        <v>1.5</v>
      </c>
      <c r="AE60" s="4">
        <v>6</v>
      </c>
      <c r="AF60" s="3">
        <v>6.16</v>
      </c>
    </row>
    <row r="61" spans="2:32" hidden="1" x14ac:dyDescent="0.3">
      <c r="Q61" s="72" t="s">
        <v>10</v>
      </c>
      <c r="S61" s="2">
        <v>2</v>
      </c>
      <c r="T61" s="3">
        <v>2.157</v>
      </c>
      <c r="Y61" s="2">
        <v>2</v>
      </c>
      <c r="Z61" s="3">
        <v>2.0670000000000002</v>
      </c>
      <c r="AB61" s="2">
        <v>2</v>
      </c>
      <c r="AC61" s="3">
        <v>1.9390000000000001</v>
      </c>
      <c r="AE61" s="4">
        <v>8</v>
      </c>
      <c r="AF61" s="3">
        <v>8.27</v>
      </c>
    </row>
    <row r="62" spans="2:32" hidden="1" x14ac:dyDescent="0.3">
      <c r="Q62" s="72" t="s">
        <v>5</v>
      </c>
      <c r="S62" s="4">
        <v>2.5</v>
      </c>
      <c r="T62" s="3">
        <v>2.6349999999999998</v>
      </c>
      <c r="Y62" s="4">
        <v>2.5</v>
      </c>
      <c r="Z62" s="3">
        <v>2.4689999999999999</v>
      </c>
      <c r="AB62" s="4">
        <v>2.5</v>
      </c>
      <c r="AC62" s="3">
        <v>2.323</v>
      </c>
      <c r="AE62" s="2">
        <v>10</v>
      </c>
      <c r="AF62" s="3">
        <v>10.28</v>
      </c>
    </row>
    <row r="63" spans="2:32" hidden="1" x14ac:dyDescent="0.3">
      <c r="S63" s="4">
        <v>3</v>
      </c>
      <c r="T63" s="3">
        <v>3.26</v>
      </c>
      <c r="Y63" s="4">
        <v>3</v>
      </c>
      <c r="Z63" s="3">
        <v>3.0680000000000001</v>
      </c>
      <c r="AB63" s="4">
        <v>3</v>
      </c>
      <c r="AC63" s="3">
        <v>2.9</v>
      </c>
      <c r="AE63" s="2">
        <v>12</v>
      </c>
      <c r="AF63" s="3">
        <v>12.34</v>
      </c>
    </row>
    <row r="64" spans="2:32" hidden="1" x14ac:dyDescent="0.3">
      <c r="S64" s="4">
        <v>3.5</v>
      </c>
      <c r="T64" s="3">
        <v>3.76</v>
      </c>
      <c r="Y64" s="4">
        <v>3.5</v>
      </c>
      <c r="Z64" s="3">
        <v>3.548</v>
      </c>
      <c r="AB64" s="4">
        <v>3.5</v>
      </c>
      <c r="AC64" s="3">
        <v>3.3639999999999999</v>
      </c>
    </row>
    <row r="65" spans="19:32" hidden="1" x14ac:dyDescent="0.3">
      <c r="S65" s="4">
        <v>4</v>
      </c>
      <c r="T65" s="3">
        <v>4.26</v>
      </c>
      <c r="Y65" s="4">
        <v>4</v>
      </c>
      <c r="Z65" s="3">
        <v>4.0259999999999998</v>
      </c>
      <c r="AB65" s="4">
        <v>4</v>
      </c>
      <c r="AC65" s="3">
        <v>3.8260000000000001</v>
      </c>
    </row>
    <row r="66" spans="19:32" hidden="1" x14ac:dyDescent="0.3">
      <c r="S66" s="4">
        <v>5</v>
      </c>
      <c r="T66" s="3">
        <v>5.2949999999999999</v>
      </c>
      <c r="Y66" s="4">
        <v>5</v>
      </c>
      <c r="Z66" s="3">
        <v>5.0469999999999997</v>
      </c>
      <c r="AB66" s="4">
        <v>5</v>
      </c>
      <c r="AC66" s="3">
        <v>4.8129999999999997</v>
      </c>
    </row>
    <row r="67" spans="19:32" hidden="1" x14ac:dyDescent="0.3">
      <c r="S67" s="4">
        <v>6</v>
      </c>
      <c r="T67" s="3">
        <v>6.3570000000000002</v>
      </c>
      <c r="Y67" s="4">
        <v>6</v>
      </c>
      <c r="Z67" s="3">
        <v>6.0650000000000004</v>
      </c>
      <c r="AB67" s="4">
        <v>6</v>
      </c>
      <c r="AC67" s="3">
        <v>5.7610000000000001</v>
      </c>
    </row>
    <row r="68" spans="19:32" hidden="1" x14ac:dyDescent="0.3">
      <c r="S68" s="4">
        <v>8</v>
      </c>
      <c r="T68" s="3">
        <v>8.2490000000000006</v>
      </c>
      <c r="Y68" s="4">
        <v>8</v>
      </c>
      <c r="Z68" s="3">
        <v>7.9809999999999999</v>
      </c>
      <c r="AB68" s="4">
        <v>8</v>
      </c>
      <c r="AC68" s="3">
        <v>7.625</v>
      </c>
    </row>
    <row r="69" spans="19:32" hidden="1" x14ac:dyDescent="0.3">
      <c r="S69" s="2">
        <v>10</v>
      </c>
      <c r="T69" s="3">
        <v>10.37</v>
      </c>
      <c r="Y69" s="2">
        <v>10</v>
      </c>
      <c r="Z69" s="3">
        <v>10.02</v>
      </c>
      <c r="AB69" s="2">
        <v>10</v>
      </c>
      <c r="AC69" s="3">
        <v>9.5619999999999994</v>
      </c>
    </row>
    <row r="70" spans="19:32" hidden="1" x14ac:dyDescent="0.3">
      <c r="S70" s="2">
        <v>12</v>
      </c>
      <c r="T70" s="3">
        <v>12.09</v>
      </c>
      <c r="Y70" s="2">
        <v>12</v>
      </c>
      <c r="Z70" s="3">
        <v>11.938000000000001</v>
      </c>
      <c r="AB70" s="2">
        <v>12</v>
      </c>
      <c r="AC70" s="3">
        <v>11.374000000000001</v>
      </c>
    </row>
    <row r="71" spans="19:32" hidden="1" x14ac:dyDescent="0.3"/>
    <row r="72" spans="19:32" hidden="1" x14ac:dyDescent="0.3"/>
    <row r="73" spans="19:32" hidden="1" x14ac:dyDescent="0.3"/>
    <row r="74" spans="19:32" hidden="1" x14ac:dyDescent="0.3"/>
    <row r="75" spans="19:32" hidden="1" x14ac:dyDescent="0.3"/>
    <row r="76" spans="19:32" hidden="1" x14ac:dyDescent="0.3">
      <c r="S76" s="19" t="s">
        <v>14</v>
      </c>
      <c r="T76" s="20">
        <v>1</v>
      </c>
      <c r="U76" s="20">
        <v>1.25</v>
      </c>
      <c r="V76" s="20">
        <v>1.5</v>
      </c>
      <c r="W76" s="20">
        <v>2</v>
      </c>
      <c r="X76" s="20">
        <v>2.5</v>
      </c>
      <c r="Y76" s="20">
        <v>3</v>
      </c>
      <c r="Z76" s="20">
        <v>3.5</v>
      </c>
      <c r="AA76" s="20">
        <v>4</v>
      </c>
      <c r="AB76" s="20">
        <v>5</v>
      </c>
      <c r="AC76" s="20">
        <v>6</v>
      </c>
      <c r="AD76" s="20">
        <v>8</v>
      </c>
      <c r="AE76" s="20">
        <v>10</v>
      </c>
      <c r="AF76" s="21">
        <v>12</v>
      </c>
    </row>
    <row r="77" spans="19:32" hidden="1" x14ac:dyDescent="0.3">
      <c r="S77" s="22" t="s">
        <v>7</v>
      </c>
      <c r="T77" s="23">
        <v>1.24</v>
      </c>
      <c r="U77" s="23">
        <v>1.24</v>
      </c>
      <c r="V77" s="23">
        <v>1.24</v>
      </c>
      <c r="W77" s="23">
        <v>1.23</v>
      </c>
      <c r="X77" s="23">
        <v>1.37</v>
      </c>
      <c r="Y77" s="23">
        <v>1.34</v>
      </c>
      <c r="Z77" s="23">
        <v>1.33</v>
      </c>
      <c r="AA77" s="23">
        <v>1.32</v>
      </c>
      <c r="AB77" s="23">
        <v>1.26</v>
      </c>
      <c r="AC77" s="23">
        <v>1.26</v>
      </c>
      <c r="AD77" s="23">
        <v>1.17</v>
      </c>
      <c r="AE77" s="23">
        <v>1.18</v>
      </c>
      <c r="AF77" s="24">
        <v>1.06</v>
      </c>
    </row>
    <row r="78" spans="19:32" hidden="1" x14ac:dyDescent="0.3">
      <c r="S78" s="22" t="s">
        <v>8</v>
      </c>
      <c r="T78" s="25" t="s">
        <v>59</v>
      </c>
      <c r="U78" s="25" t="s">
        <v>59</v>
      </c>
      <c r="V78" s="25" t="s">
        <v>59</v>
      </c>
      <c r="W78" s="25" t="s">
        <v>59</v>
      </c>
      <c r="X78" s="25" t="s">
        <v>59</v>
      </c>
      <c r="Y78" s="25" t="s">
        <v>59</v>
      </c>
      <c r="Z78" s="25" t="s">
        <v>59</v>
      </c>
      <c r="AA78" s="25" t="s">
        <v>59</v>
      </c>
      <c r="AB78" s="25" t="s">
        <v>59</v>
      </c>
      <c r="AC78" s="25" t="s">
        <v>59</v>
      </c>
      <c r="AD78" s="23">
        <v>1.06</v>
      </c>
      <c r="AE78" s="23">
        <v>1.06</v>
      </c>
      <c r="AF78" s="26" t="s">
        <v>59</v>
      </c>
    </row>
    <row r="79" spans="19:32" hidden="1" x14ac:dyDescent="0.3">
      <c r="S79" s="22" t="s">
        <v>9</v>
      </c>
      <c r="T79" s="25">
        <v>1</v>
      </c>
      <c r="U79" s="25">
        <v>1</v>
      </c>
      <c r="V79" s="25">
        <v>1</v>
      </c>
      <c r="W79" s="25">
        <v>1</v>
      </c>
      <c r="X79" s="25">
        <v>1</v>
      </c>
      <c r="Y79" s="25">
        <v>1</v>
      </c>
      <c r="Z79" s="25">
        <v>1</v>
      </c>
      <c r="AA79" s="25">
        <v>1</v>
      </c>
      <c r="AB79" s="25">
        <v>1</v>
      </c>
      <c r="AC79" s="25">
        <v>1</v>
      </c>
      <c r="AD79" s="25">
        <v>1</v>
      </c>
      <c r="AE79" s="25">
        <v>1</v>
      </c>
      <c r="AF79" s="26">
        <v>1</v>
      </c>
    </row>
    <row r="80" spans="19:32" hidden="1" x14ac:dyDescent="0.3">
      <c r="S80" s="22" t="s">
        <v>10</v>
      </c>
      <c r="T80" s="23">
        <v>0.64</v>
      </c>
      <c r="U80" s="23">
        <v>0.69</v>
      </c>
      <c r="V80" s="23">
        <v>0.71</v>
      </c>
      <c r="W80" s="23">
        <v>0.73</v>
      </c>
      <c r="X80" s="23">
        <v>0.74</v>
      </c>
      <c r="Y80" s="23">
        <v>0.76</v>
      </c>
      <c r="Z80" s="23">
        <v>0.77</v>
      </c>
      <c r="AA80" s="23">
        <v>0.78</v>
      </c>
      <c r="AB80" s="23">
        <v>0.79</v>
      </c>
      <c r="AC80" s="23">
        <v>0.78</v>
      </c>
      <c r="AD80" s="23">
        <v>0.8</v>
      </c>
      <c r="AE80" s="23">
        <v>0.8</v>
      </c>
      <c r="AF80" s="24">
        <v>0.79</v>
      </c>
    </row>
    <row r="81" spans="19:32" ht="15" hidden="1" thickBot="1" x14ac:dyDescent="0.35">
      <c r="S81" s="27" t="s">
        <v>5</v>
      </c>
      <c r="T81" s="28" t="s">
        <v>59</v>
      </c>
      <c r="U81" s="28" t="s">
        <v>59</v>
      </c>
      <c r="V81" s="28" t="s">
        <v>59</v>
      </c>
      <c r="W81" s="28" t="s">
        <v>59</v>
      </c>
      <c r="X81" s="28" t="s">
        <v>59</v>
      </c>
      <c r="Y81" s="29">
        <v>1.38</v>
      </c>
      <c r="Z81" s="28" t="s">
        <v>59</v>
      </c>
      <c r="AA81" s="29">
        <v>1.0900000000000001</v>
      </c>
      <c r="AB81" s="29" t="s">
        <v>59</v>
      </c>
      <c r="AC81" s="29">
        <v>1.08</v>
      </c>
      <c r="AD81" s="29">
        <v>1.19</v>
      </c>
      <c r="AE81" s="29">
        <v>1.1299999999999999</v>
      </c>
      <c r="AF81" s="30">
        <v>1.18</v>
      </c>
    </row>
    <row r="82" spans="19:32" hidden="1" x14ac:dyDescent="0.3"/>
    <row r="83" spans="19:32" hidden="1" x14ac:dyDescent="0.3"/>
    <row r="84" spans="19:32" hidden="1" x14ac:dyDescent="0.3"/>
    <row r="85" spans="19:32" hidden="1" x14ac:dyDescent="0.3"/>
    <row r="86" spans="19:32" hidden="1" x14ac:dyDescent="0.3"/>
    <row r="87" spans="19:32" hidden="1" x14ac:dyDescent="0.3"/>
    <row r="88" spans="19:32" hidden="1" x14ac:dyDescent="0.3"/>
    <row r="89" spans="19:32" hidden="1" x14ac:dyDescent="0.3"/>
    <row r="90" spans="19:32" hidden="1" x14ac:dyDescent="0.3"/>
    <row r="91" spans="19:32" hidden="1" x14ac:dyDescent="0.3"/>
    <row r="92" spans="19:32" hidden="1" x14ac:dyDescent="0.3"/>
    <row r="93" spans="19:32" hidden="1" x14ac:dyDescent="0.3"/>
    <row r="94" spans="19:32" hidden="1" x14ac:dyDescent="0.3"/>
    <row r="95" spans="19:32" hidden="1" x14ac:dyDescent="0.3"/>
  </sheetData>
  <sheetProtection algorithmName="SHA-512" hashValue="p4h5LjwM3DnsPULxROVqM0OWQsTC/L/TWtDN5Fzd2EkoI6y44qZ+wSkGM0yxj6BVeIR+EzeqnouSwGS7bVCq+w==" saltValue="uNHQrI/TtBa4FNxnMaZzAw==" spinCount="100000" sheet="1" selectLockedCells="1"/>
  <mergeCells count="110">
    <mergeCell ref="K37:Q37"/>
    <mergeCell ref="K40:Q40"/>
    <mergeCell ref="K43:Q43"/>
    <mergeCell ref="K46:Q46"/>
    <mergeCell ref="K47:P47"/>
    <mergeCell ref="K11:Q13"/>
    <mergeCell ref="H53:I53"/>
    <mergeCell ref="G7:H7"/>
    <mergeCell ref="I30:I31"/>
    <mergeCell ref="I36:I37"/>
    <mergeCell ref="I42:I43"/>
    <mergeCell ref="I48:I49"/>
    <mergeCell ref="K14:P14"/>
    <mergeCell ref="K17:P17"/>
    <mergeCell ref="K20:P20"/>
    <mergeCell ref="K23:P23"/>
    <mergeCell ref="K26:P26"/>
    <mergeCell ref="K29:P29"/>
    <mergeCell ref="K32:P32"/>
    <mergeCell ref="K35:P35"/>
    <mergeCell ref="K38:P38"/>
    <mergeCell ref="K41:P41"/>
    <mergeCell ref="K44:P44"/>
    <mergeCell ref="K49:Q49"/>
    <mergeCell ref="K16:Q16"/>
    <mergeCell ref="K19:Q19"/>
    <mergeCell ref="K22:Q22"/>
    <mergeCell ref="K25:Q25"/>
    <mergeCell ref="K28:Q28"/>
    <mergeCell ref="K31:Q31"/>
    <mergeCell ref="K34:Q34"/>
    <mergeCell ref="B7:D7"/>
    <mergeCell ref="B8:D8"/>
    <mergeCell ref="B9:D9"/>
    <mergeCell ref="D21:D22"/>
    <mergeCell ref="F21:F22"/>
    <mergeCell ref="I21:I22"/>
    <mergeCell ref="E23:E25"/>
    <mergeCell ref="B24:B25"/>
    <mergeCell ref="C24:C25"/>
    <mergeCell ref="D24:D25"/>
    <mergeCell ref="F24:F25"/>
    <mergeCell ref="E26:E28"/>
    <mergeCell ref="B27:B28"/>
    <mergeCell ref="C27:C28"/>
    <mergeCell ref="D27:D28"/>
    <mergeCell ref="F27:F28"/>
    <mergeCell ref="I27:I28"/>
    <mergeCell ref="H52:I52"/>
    <mergeCell ref="E11:E13"/>
    <mergeCell ref="G11:G13"/>
    <mergeCell ref="B12:B13"/>
    <mergeCell ref="C12:C13"/>
    <mergeCell ref="D12:D13"/>
    <mergeCell ref="F12:F13"/>
    <mergeCell ref="E17:E19"/>
    <mergeCell ref="B18:B19"/>
    <mergeCell ref="C18:C19"/>
    <mergeCell ref="D18:D19"/>
    <mergeCell ref="F18:F19"/>
    <mergeCell ref="I18:I19"/>
    <mergeCell ref="I12:I13"/>
    <mergeCell ref="E14:E16"/>
    <mergeCell ref="B15:B16"/>
    <mergeCell ref="C15:C16"/>
    <mergeCell ref="D15:D16"/>
    <mergeCell ref="F15:F16"/>
    <mergeCell ref="I15:I16"/>
    <mergeCell ref="I24:I25"/>
    <mergeCell ref="E20:E22"/>
    <mergeCell ref="B21:B22"/>
    <mergeCell ref="C21:C22"/>
    <mergeCell ref="E29:E31"/>
    <mergeCell ref="B30:B31"/>
    <mergeCell ref="C30:C31"/>
    <mergeCell ref="D30:D31"/>
    <mergeCell ref="F30:F31"/>
    <mergeCell ref="E32:E34"/>
    <mergeCell ref="B33:B34"/>
    <mergeCell ref="C33:C34"/>
    <mergeCell ref="D33:D34"/>
    <mergeCell ref="F33:F34"/>
    <mergeCell ref="I33:I34"/>
    <mergeCell ref="E35:E37"/>
    <mergeCell ref="B36:B37"/>
    <mergeCell ref="C36:C37"/>
    <mergeCell ref="D36:D37"/>
    <mergeCell ref="F36:F37"/>
    <mergeCell ref="E38:E40"/>
    <mergeCell ref="B39:B40"/>
    <mergeCell ref="C39:C40"/>
    <mergeCell ref="D39:D40"/>
    <mergeCell ref="F39:F40"/>
    <mergeCell ref="I39:I40"/>
    <mergeCell ref="I45:I46"/>
    <mergeCell ref="E47:E49"/>
    <mergeCell ref="B48:B49"/>
    <mergeCell ref="C48:C49"/>
    <mergeCell ref="D48:D49"/>
    <mergeCell ref="F48:F49"/>
    <mergeCell ref="E41:E43"/>
    <mergeCell ref="B42:B43"/>
    <mergeCell ref="C42:C43"/>
    <mergeCell ref="D42:D43"/>
    <mergeCell ref="F42:F43"/>
    <mergeCell ref="E44:E46"/>
    <mergeCell ref="B45:B46"/>
    <mergeCell ref="C45:C46"/>
    <mergeCell ref="D45:D46"/>
    <mergeCell ref="F45:F46"/>
  </mergeCells>
  <phoneticPr fontId="2" type="noConversion"/>
  <dataValidations count="16">
    <dataValidation type="list" allowBlank="1" showInputMessage="1" showErrorMessage="1" sqref="K58 E14:E50" xr:uid="{2A7C5CC4-6F0F-4D45-B964-B2014B2976CC}">
      <formula1>$Q$58:$Q$62</formula1>
    </dataValidation>
    <dataValidation type="list" allowBlank="1" showInputMessage="1" showErrorMessage="1" sqref="L58" xr:uid="{A6651028-C375-47DB-B23C-B3E6F7C27847}">
      <formula1>INDIRECT($K$58)</formula1>
    </dataValidation>
    <dataValidation type="list" allowBlank="1" showInputMessage="1" showErrorMessage="1" sqref="F14" xr:uid="{05C8B008-57D4-4A10-BC9D-F22B07D0C6A3}">
      <formula1>INDIRECT($E$14)</formula1>
    </dataValidation>
    <dataValidation type="list" allowBlank="1" showInputMessage="1" showErrorMessage="1" sqref="F17" xr:uid="{AAB76F04-D2C4-41F5-A774-DFB4316CA039}">
      <formula1>INDIRECT($E$17)</formula1>
    </dataValidation>
    <dataValidation type="list" allowBlank="1" showInputMessage="1" showErrorMessage="1" sqref="F20" xr:uid="{BA529BCE-0BED-420F-A7B2-811C13449CF6}">
      <formula1>INDIRECT($E$20)</formula1>
    </dataValidation>
    <dataValidation type="list" allowBlank="1" showInputMessage="1" showErrorMessage="1" sqref="F23" xr:uid="{B1C82174-5D11-4EF3-9B92-941E6456DD7C}">
      <formula1>INDIRECT($E$23)</formula1>
    </dataValidation>
    <dataValidation type="list" allowBlank="1" showInputMessage="1" showErrorMessage="1" sqref="F26" xr:uid="{ED78C608-1285-4E5E-8FFA-A005587E193A}">
      <formula1>INDIRECT($E$26)</formula1>
    </dataValidation>
    <dataValidation type="list" allowBlank="1" showInputMessage="1" showErrorMessage="1" sqref="F29" xr:uid="{00BF3B54-C48E-4D71-8399-B76F23CF7CF2}">
      <formula1>INDIRECT($E$29)</formula1>
    </dataValidation>
    <dataValidation type="list" allowBlank="1" showInputMessage="1" showErrorMessage="1" sqref="F32" xr:uid="{247813DE-DD89-4E44-8EF9-C2C87495A71A}">
      <formula1>INDIRECT($E$32)</formula1>
    </dataValidation>
    <dataValidation type="list" allowBlank="1" showInputMessage="1" showErrorMessage="1" sqref="F35" xr:uid="{9B022A9F-5750-41F1-A476-9938BDC10392}">
      <formula1>INDIRECT($E$35)</formula1>
    </dataValidation>
    <dataValidation type="list" allowBlank="1" showInputMessage="1" showErrorMessage="1" sqref="F38" xr:uid="{8AA78EB9-5873-434E-9D3A-0EF595352006}">
      <formula1>INDIRECT($E$38)</formula1>
    </dataValidation>
    <dataValidation type="list" allowBlank="1" showInputMessage="1" showErrorMessage="1" sqref="F41" xr:uid="{326B9021-77BF-40B7-ABC5-943110069876}">
      <formula1>INDIRECT($E$41)</formula1>
    </dataValidation>
    <dataValidation type="list" allowBlank="1" showInputMessage="1" showErrorMessage="1" sqref="F44" xr:uid="{D70F689D-2D77-49A5-876A-AD28B351AC5F}">
      <formula1>INDIRECT($E$44)</formula1>
    </dataValidation>
    <dataValidation type="list" allowBlank="1" showInputMessage="1" showErrorMessage="1" sqref="F47" xr:uid="{09D62A4A-94F4-455D-AFD3-98A43A490DAA}">
      <formula1>INDIRECT($E$47)</formula1>
    </dataValidation>
    <dataValidation type="list" allowBlank="1" showInputMessage="1" showErrorMessage="1" sqref="I7" xr:uid="{8AF1B163-B34A-4615-8FFA-5DABCA34073D}">
      <formula1>"Class I, Class II"</formula1>
    </dataValidation>
    <dataValidation type="list" allowBlank="1" showInputMessage="1" showErrorMessage="1" sqref="I14 I17 I20 I23 I26 I29 I32 I35 I38 I41 I44 I47" xr:uid="{5F065EE8-6CB7-4510-8F81-2A04EE965CAE}">
      <formula1>"100,120,130,140,150"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D5117-BD3F-4D59-ACCF-5895BCE00232}">
  <dimension ref="C6:AG71"/>
  <sheetViews>
    <sheetView showGridLines="0" topLeftCell="B1" zoomScaleNormal="100" workbookViewId="0">
      <selection activeCell="D8" sqref="D8"/>
    </sheetView>
  </sheetViews>
  <sheetFormatPr defaultRowHeight="14.4" x14ac:dyDescent="0.3"/>
  <cols>
    <col min="1" max="1" width="0" hidden="1" customWidth="1"/>
    <col min="3" max="3" width="12.33203125" customWidth="1"/>
    <col min="4" max="4" width="22.5546875" customWidth="1"/>
    <col min="5" max="5" width="8.88671875" hidden="1" customWidth="1"/>
    <col min="6" max="6" width="21.77734375" hidden="1" customWidth="1"/>
    <col min="7" max="7" width="20.109375" bestFit="1" customWidth="1"/>
    <col min="8" max="12" width="8.88671875" customWidth="1"/>
    <col min="13" max="13" width="9.33203125" customWidth="1"/>
    <col min="19" max="19" width="11.109375" customWidth="1"/>
  </cols>
  <sheetData>
    <row r="6" spans="3:33" ht="15" thickBot="1" x14ac:dyDescent="0.35"/>
    <row r="7" spans="3:33" ht="20.100000000000001" customHeight="1" x14ac:dyDescent="0.3">
      <c r="C7" s="5" t="s">
        <v>30</v>
      </c>
      <c r="D7" s="65">
        <v>120</v>
      </c>
    </row>
    <row r="8" spans="3:33" ht="20.100000000000001" customHeight="1" thickBot="1" x14ac:dyDescent="0.35">
      <c r="C8" s="6" t="s">
        <v>14</v>
      </c>
      <c r="D8" s="66" t="s">
        <v>31</v>
      </c>
    </row>
    <row r="9" spans="3:33" ht="20.100000000000001" customHeight="1" x14ac:dyDescent="0.3">
      <c r="G9" s="7" t="s">
        <v>63</v>
      </c>
      <c r="H9" s="8" t="s">
        <v>32</v>
      </c>
      <c r="I9" s="8" t="s">
        <v>33</v>
      </c>
      <c r="J9" s="8" t="s">
        <v>34</v>
      </c>
      <c r="K9" s="8" t="s">
        <v>35</v>
      </c>
      <c r="L9" s="8" t="s">
        <v>36</v>
      </c>
      <c r="M9" s="8" t="s">
        <v>37</v>
      </c>
      <c r="N9" s="8" t="s">
        <v>38</v>
      </c>
      <c r="O9" s="8" t="s">
        <v>39</v>
      </c>
      <c r="P9" s="8" t="s">
        <v>40</v>
      </c>
      <c r="Q9" s="8" t="s">
        <v>41</v>
      </c>
      <c r="R9" s="8" t="s">
        <v>42</v>
      </c>
      <c r="S9" s="8" t="s">
        <v>43</v>
      </c>
      <c r="T9" s="8" t="s">
        <v>44</v>
      </c>
    </row>
    <row r="10" spans="3:33" ht="20.100000000000001" customHeight="1" x14ac:dyDescent="0.3">
      <c r="G10" s="9" t="s">
        <v>45</v>
      </c>
      <c r="H10" s="67">
        <f t="shared" ref="H10:T10" si="0">H62</f>
        <v>1</v>
      </c>
      <c r="I10" s="67">
        <f t="shared" si="0"/>
        <v>1</v>
      </c>
      <c r="J10" s="67">
        <f t="shared" si="0"/>
        <v>2</v>
      </c>
      <c r="K10" s="67">
        <f t="shared" si="0"/>
        <v>2</v>
      </c>
      <c r="L10" s="67">
        <f t="shared" si="0"/>
        <v>3</v>
      </c>
      <c r="M10" s="67">
        <f t="shared" si="0"/>
        <v>3</v>
      </c>
      <c r="N10" s="67">
        <f t="shared" si="0"/>
        <v>3</v>
      </c>
      <c r="O10" s="67">
        <f t="shared" si="0"/>
        <v>4</v>
      </c>
      <c r="P10" s="67">
        <f t="shared" si="0"/>
        <v>5</v>
      </c>
      <c r="Q10" s="67">
        <f t="shared" si="0"/>
        <v>7</v>
      </c>
      <c r="R10" s="67">
        <f t="shared" si="0"/>
        <v>9</v>
      </c>
      <c r="S10" s="67">
        <f t="shared" si="0"/>
        <v>11</v>
      </c>
      <c r="T10" s="67">
        <f t="shared" si="0"/>
        <v>13</v>
      </c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</row>
    <row r="11" spans="3:33" ht="20.100000000000001" customHeight="1" x14ac:dyDescent="0.3">
      <c r="G11" s="9" t="s">
        <v>46</v>
      </c>
      <c r="H11" s="67">
        <f t="shared" ref="H11:T11" si="1">H63</f>
        <v>2</v>
      </c>
      <c r="I11" s="67">
        <f t="shared" si="1"/>
        <v>3</v>
      </c>
      <c r="J11" s="67">
        <f t="shared" si="1"/>
        <v>4</v>
      </c>
      <c r="K11" s="67">
        <f t="shared" si="1"/>
        <v>5</v>
      </c>
      <c r="L11" s="67">
        <f t="shared" si="1"/>
        <v>6</v>
      </c>
      <c r="M11" s="67">
        <f t="shared" si="1"/>
        <v>7</v>
      </c>
      <c r="N11" s="67">
        <f t="shared" si="1"/>
        <v>8</v>
      </c>
      <c r="O11" s="67">
        <f t="shared" si="1"/>
        <v>10</v>
      </c>
      <c r="P11" s="67">
        <f t="shared" si="1"/>
        <v>12</v>
      </c>
      <c r="Q11" s="67">
        <f t="shared" si="1"/>
        <v>14</v>
      </c>
      <c r="R11" s="67">
        <f t="shared" si="1"/>
        <v>18</v>
      </c>
      <c r="S11" s="67">
        <f t="shared" si="1"/>
        <v>22</v>
      </c>
      <c r="T11" s="67">
        <f t="shared" si="1"/>
        <v>27</v>
      </c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</row>
    <row r="12" spans="3:33" ht="20.100000000000001" customHeight="1" x14ac:dyDescent="0.3">
      <c r="G12" s="9" t="s">
        <v>47</v>
      </c>
      <c r="H12" s="67">
        <f t="shared" ref="H12:T12" si="2">H64</f>
        <v>2</v>
      </c>
      <c r="I12" s="67">
        <f t="shared" si="2"/>
        <v>2</v>
      </c>
      <c r="J12" s="67">
        <f t="shared" si="2"/>
        <v>2</v>
      </c>
      <c r="K12" s="67">
        <f t="shared" si="2"/>
        <v>3</v>
      </c>
      <c r="L12" s="67">
        <f t="shared" si="2"/>
        <v>4</v>
      </c>
      <c r="M12" s="67">
        <f t="shared" si="2"/>
        <v>5</v>
      </c>
      <c r="N12" s="67">
        <f t="shared" si="2"/>
        <v>5</v>
      </c>
      <c r="O12" s="67">
        <f t="shared" si="2"/>
        <v>6</v>
      </c>
      <c r="P12" s="67">
        <f t="shared" si="2"/>
        <v>8</v>
      </c>
      <c r="Q12" s="67">
        <f t="shared" si="2"/>
        <v>9</v>
      </c>
      <c r="R12" s="67">
        <f t="shared" si="2"/>
        <v>13</v>
      </c>
      <c r="S12" s="67">
        <f t="shared" si="2"/>
        <v>16</v>
      </c>
      <c r="T12" s="67">
        <f t="shared" si="2"/>
        <v>18</v>
      </c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</row>
    <row r="13" spans="3:33" ht="20.100000000000001" customHeight="1" x14ac:dyDescent="0.3">
      <c r="G13" s="9" t="s">
        <v>48</v>
      </c>
      <c r="H13" s="67">
        <f t="shared" ref="H13:T13" si="3">H65</f>
        <v>5</v>
      </c>
      <c r="I13" s="67">
        <f t="shared" si="3"/>
        <v>6</v>
      </c>
      <c r="J13" s="67">
        <f t="shared" si="3"/>
        <v>8</v>
      </c>
      <c r="K13" s="67">
        <f t="shared" si="3"/>
        <v>10</v>
      </c>
      <c r="L13" s="67">
        <f t="shared" si="3"/>
        <v>12</v>
      </c>
      <c r="M13" s="67">
        <f t="shared" si="3"/>
        <v>15</v>
      </c>
      <c r="N13" s="67">
        <f t="shared" si="3"/>
        <v>17</v>
      </c>
      <c r="O13" s="67">
        <f t="shared" si="3"/>
        <v>20</v>
      </c>
      <c r="P13" s="67">
        <f t="shared" si="3"/>
        <v>25</v>
      </c>
      <c r="Q13" s="67">
        <f t="shared" si="3"/>
        <v>30</v>
      </c>
      <c r="R13" s="67">
        <f t="shared" si="3"/>
        <v>35</v>
      </c>
      <c r="S13" s="67">
        <f t="shared" si="3"/>
        <v>50</v>
      </c>
      <c r="T13" s="67">
        <f t="shared" si="3"/>
        <v>60</v>
      </c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</row>
    <row r="14" spans="3:33" ht="20.100000000000001" customHeight="1" x14ac:dyDescent="0.3">
      <c r="G14" s="9" t="s">
        <v>49</v>
      </c>
      <c r="H14" s="67">
        <f t="shared" ref="H14:T14" si="4">H66</f>
        <v>0</v>
      </c>
      <c r="I14" s="67">
        <f t="shared" si="4"/>
        <v>0</v>
      </c>
      <c r="J14" s="67">
        <f t="shared" si="4"/>
        <v>0</v>
      </c>
      <c r="K14" s="67">
        <f t="shared" si="4"/>
        <v>6</v>
      </c>
      <c r="L14" s="67">
        <f t="shared" si="4"/>
        <v>7</v>
      </c>
      <c r="M14" s="67">
        <f t="shared" si="4"/>
        <v>10</v>
      </c>
      <c r="N14" s="67">
        <f t="shared" si="4"/>
        <v>0</v>
      </c>
      <c r="O14" s="67">
        <f t="shared" si="4"/>
        <v>12</v>
      </c>
      <c r="P14" s="67">
        <f t="shared" si="4"/>
        <v>9</v>
      </c>
      <c r="Q14" s="67">
        <f t="shared" si="4"/>
        <v>10</v>
      </c>
      <c r="R14" s="67">
        <f t="shared" si="4"/>
        <v>12</v>
      </c>
      <c r="S14" s="67">
        <f t="shared" si="4"/>
        <v>19</v>
      </c>
      <c r="T14" s="67">
        <f t="shared" si="4"/>
        <v>21</v>
      </c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</row>
    <row r="15" spans="3:33" ht="20.100000000000001" customHeight="1" x14ac:dyDescent="0.3">
      <c r="G15" s="9" t="s">
        <v>50</v>
      </c>
      <c r="H15" s="67">
        <f t="shared" ref="H15:T15" si="5">H67</f>
        <v>0</v>
      </c>
      <c r="I15" s="67">
        <f t="shared" si="5"/>
        <v>0</v>
      </c>
      <c r="J15" s="67">
        <f t="shared" si="5"/>
        <v>0</v>
      </c>
      <c r="K15" s="67">
        <f t="shared" si="5"/>
        <v>1</v>
      </c>
      <c r="L15" s="67">
        <f t="shared" si="5"/>
        <v>1</v>
      </c>
      <c r="M15" s="67">
        <f t="shared" si="5"/>
        <v>1</v>
      </c>
      <c r="N15" s="67">
        <f t="shared" si="5"/>
        <v>1</v>
      </c>
      <c r="O15" s="67">
        <f t="shared" si="5"/>
        <v>2</v>
      </c>
      <c r="P15" s="67">
        <f t="shared" si="5"/>
        <v>2</v>
      </c>
      <c r="Q15" s="67">
        <f t="shared" si="5"/>
        <v>3</v>
      </c>
      <c r="R15" s="67">
        <f t="shared" si="5"/>
        <v>4</v>
      </c>
      <c r="S15" s="67">
        <f t="shared" si="5"/>
        <v>5</v>
      </c>
      <c r="T15" s="67">
        <f t="shared" si="5"/>
        <v>6</v>
      </c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</row>
    <row r="16" spans="3:33" ht="20.100000000000001" customHeight="1" x14ac:dyDescent="0.3">
      <c r="G16" s="9" t="s">
        <v>51</v>
      </c>
      <c r="H16" s="67">
        <f t="shared" ref="H16:T16" si="6">H68</f>
        <v>6</v>
      </c>
      <c r="I16" s="67">
        <f t="shared" si="6"/>
        <v>9</v>
      </c>
      <c r="J16" s="67">
        <f t="shared" si="6"/>
        <v>10</v>
      </c>
      <c r="K16" s="67">
        <f t="shared" si="6"/>
        <v>14</v>
      </c>
      <c r="L16" s="67">
        <f t="shared" si="6"/>
        <v>17</v>
      </c>
      <c r="M16" s="67">
        <f t="shared" si="6"/>
        <v>22</v>
      </c>
      <c r="N16" s="67">
        <f t="shared" si="6"/>
        <v>0</v>
      </c>
      <c r="O16" s="67">
        <f t="shared" si="6"/>
        <v>30</v>
      </c>
      <c r="P16" s="67">
        <f t="shared" si="6"/>
        <v>0</v>
      </c>
      <c r="Q16" s="67">
        <f t="shared" si="6"/>
        <v>16</v>
      </c>
      <c r="R16" s="67">
        <f t="shared" si="6"/>
        <v>22</v>
      </c>
      <c r="S16" s="67">
        <f t="shared" si="6"/>
        <v>29</v>
      </c>
      <c r="T16" s="67">
        <f t="shared" si="6"/>
        <v>36</v>
      </c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</row>
    <row r="17" spans="5:33" ht="20.100000000000001" customHeight="1" x14ac:dyDescent="0.3">
      <c r="G17" s="9" t="s">
        <v>52</v>
      </c>
      <c r="H17" s="67">
        <f t="shared" ref="H17:T17" si="7">H69</f>
        <v>5</v>
      </c>
      <c r="I17" s="67">
        <f t="shared" si="7"/>
        <v>7</v>
      </c>
      <c r="J17" s="67">
        <f t="shared" si="7"/>
        <v>9</v>
      </c>
      <c r="K17" s="67">
        <f t="shared" si="7"/>
        <v>11</v>
      </c>
      <c r="L17" s="67">
        <f t="shared" si="7"/>
        <v>14</v>
      </c>
      <c r="M17" s="67">
        <f t="shared" si="7"/>
        <v>16</v>
      </c>
      <c r="N17" s="67">
        <f t="shared" si="7"/>
        <v>19</v>
      </c>
      <c r="O17" s="67">
        <f t="shared" si="7"/>
        <v>22</v>
      </c>
      <c r="P17" s="67">
        <f t="shared" si="7"/>
        <v>27</v>
      </c>
      <c r="Q17" s="67">
        <f t="shared" si="7"/>
        <v>32</v>
      </c>
      <c r="R17" s="67">
        <f t="shared" si="7"/>
        <v>45</v>
      </c>
      <c r="S17" s="67">
        <f t="shared" si="7"/>
        <v>55</v>
      </c>
      <c r="T17" s="67">
        <f t="shared" si="7"/>
        <v>65</v>
      </c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</row>
    <row r="19" spans="5:33" x14ac:dyDescent="0.3">
      <c r="E19" s="11"/>
      <c r="F19" s="10"/>
    </row>
    <row r="20" spans="5:33" hidden="1" x14ac:dyDescent="0.3">
      <c r="E20" s="11"/>
      <c r="F20" s="10"/>
    </row>
    <row r="21" spans="5:33" hidden="1" x14ac:dyDescent="0.3">
      <c r="F21" s="10"/>
    </row>
    <row r="22" spans="5:33" hidden="1" x14ac:dyDescent="0.3">
      <c r="F22" s="10"/>
      <c r="G22" t="s">
        <v>62</v>
      </c>
    </row>
    <row r="23" spans="5:33" hidden="1" x14ac:dyDescent="0.3">
      <c r="F23" s="10"/>
      <c r="G23" s="12"/>
      <c r="H23" s="2" t="s">
        <v>32</v>
      </c>
      <c r="I23" s="2" t="s">
        <v>33</v>
      </c>
      <c r="J23" s="2" t="s">
        <v>34</v>
      </c>
      <c r="K23" s="2" t="s">
        <v>35</v>
      </c>
      <c r="L23" s="2" t="s">
        <v>36</v>
      </c>
      <c r="M23" s="2" t="s">
        <v>37</v>
      </c>
      <c r="N23" s="2" t="s">
        <v>38</v>
      </c>
      <c r="O23" s="2" t="s">
        <v>39</v>
      </c>
      <c r="P23" s="2" t="s">
        <v>40</v>
      </c>
      <c r="Q23" s="2" t="s">
        <v>41</v>
      </c>
      <c r="R23" s="2" t="s">
        <v>42</v>
      </c>
      <c r="S23" s="2" t="s">
        <v>43</v>
      </c>
      <c r="T23" s="2" t="s">
        <v>44</v>
      </c>
    </row>
    <row r="24" spans="5:33" hidden="1" x14ac:dyDescent="0.3">
      <c r="F24" s="10"/>
      <c r="G24" s="12" t="s">
        <v>45</v>
      </c>
      <c r="H24" s="3">
        <v>1</v>
      </c>
      <c r="I24" s="3">
        <v>1</v>
      </c>
      <c r="J24" s="3">
        <v>2</v>
      </c>
      <c r="K24" s="3">
        <v>2</v>
      </c>
      <c r="L24" s="3">
        <v>3</v>
      </c>
      <c r="M24" s="3">
        <v>3</v>
      </c>
      <c r="N24" s="3">
        <v>3</v>
      </c>
      <c r="O24" s="3">
        <v>4</v>
      </c>
      <c r="P24" s="3">
        <v>5</v>
      </c>
      <c r="Q24" s="3">
        <v>7</v>
      </c>
      <c r="R24" s="3">
        <v>9</v>
      </c>
      <c r="S24" s="3">
        <v>11</v>
      </c>
      <c r="T24" s="3">
        <v>13</v>
      </c>
    </row>
    <row r="25" spans="5:33" hidden="1" x14ac:dyDescent="0.3">
      <c r="F25" s="10"/>
      <c r="G25" s="12" t="s">
        <v>46</v>
      </c>
      <c r="H25" s="3">
        <v>2</v>
      </c>
      <c r="I25" s="3">
        <v>3</v>
      </c>
      <c r="J25" s="3">
        <v>4</v>
      </c>
      <c r="K25" s="3">
        <v>5</v>
      </c>
      <c r="L25" s="3">
        <v>6</v>
      </c>
      <c r="M25" s="3">
        <v>7</v>
      </c>
      <c r="N25" s="3">
        <v>8</v>
      </c>
      <c r="O25" s="3">
        <v>10</v>
      </c>
      <c r="P25" s="3">
        <v>12</v>
      </c>
      <c r="Q25" s="3">
        <v>14</v>
      </c>
      <c r="R25" s="3">
        <v>18</v>
      </c>
      <c r="S25" s="3">
        <v>22</v>
      </c>
      <c r="T25" s="3">
        <v>27</v>
      </c>
    </row>
    <row r="26" spans="5:33" hidden="1" x14ac:dyDescent="0.3">
      <c r="F26" s="10"/>
      <c r="G26" s="12" t="s">
        <v>47</v>
      </c>
      <c r="H26" s="3">
        <v>2</v>
      </c>
      <c r="I26" s="3">
        <v>2</v>
      </c>
      <c r="J26" s="3">
        <v>2</v>
      </c>
      <c r="K26" s="3">
        <v>3</v>
      </c>
      <c r="L26" s="3">
        <v>4</v>
      </c>
      <c r="M26" s="3">
        <v>5</v>
      </c>
      <c r="N26" s="3">
        <v>5</v>
      </c>
      <c r="O26" s="3">
        <v>6</v>
      </c>
      <c r="P26" s="3">
        <v>8</v>
      </c>
      <c r="Q26" s="3">
        <v>9</v>
      </c>
      <c r="R26" s="3">
        <v>13</v>
      </c>
      <c r="S26" s="3">
        <v>16</v>
      </c>
      <c r="T26" s="3">
        <v>18</v>
      </c>
    </row>
    <row r="27" spans="5:33" hidden="1" x14ac:dyDescent="0.3">
      <c r="F27" s="10"/>
      <c r="G27" s="12" t="s">
        <v>48</v>
      </c>
      <c r="H27" s="3">
        <v>5</v>
      </c>
      <c r="I27" s="3">
        <v>6</v>
      </c>
      <c r="J27" s="3">
        <v>8</v>
      </c>
      <c r="K27" s="3">
        <v>10</v>
      </c>
      <c r="L27" s="3">
        <v>12</v>
      </c>
      <c r="M27" s="3">
        <v>15</v>
      </c>
      <c r="N27" s="3">
        <v>17</v>
      </c>
      <c r="O27" s="3">
        <v>20</v>
      </c>
      <c r="P27" s="3">
        <v>25</v>
      </c>
      <c r="Q27" s="3">
        <v>30</v>
      </c>
      <c r="R27" s="3">
        <v>35</v>
      </c>
      <c r="S27" s="3">
        <v>50</v>
      </c>
      <c r="T27" s="3">
        <v>60</v>
      </c>
    </row>
    <row r="28" spans="5:33" hidden="1" x14ac:dyDescent="0.3">
      <c r="F28" s="10"/>
      <c r="G28" s="12" t="s">
        <v>49</v>
      </c>
      <c r="H28" s="3">
        <v>0</v>
      </c>
      <c r="I28" s="3">
        <v>0</v>
      </c>
      <c r="J28" s="3">
        <v>0</v>
      </c>
      <c r="K28" s="3">
        <v>6</v>
      </c>
      <c r="L28" s="3">
        <v>7</v>
      </c>
      <c r="M28" s="3">
        <v>10</v>
      </c>
      <c r="N28" s="3">
        <v>0</v>
      </c>
      <c r="O28" s="3">
        <v>12</v>
      </c>
      <c r="P28" s="3">
        <v>9</v>
      </c>
      <c r="Q28" s="3">
        <v>10</v>
      </c>
      <c r="R28" s="3">
        <v>12</v>
      </c>
      <c r="S28" s="3">
        <v>19</v>
      </c>
      <c r="T28" s="3">
        <v>21</v>
      </c>
    </row>
    <row r="29" spans="5:33" hidden="1" x14ac:dyDescent="0.3">
      <c r="F29" s="10"/>
      <c r="G29" s="12" t="s">
        <v>50</v>
      </c>
      <c r="H29" s="3">
        <v>0</v>
      </c>
      <c r="I29" s="3">
        <v>0</v>
      </c>
      <c r="J29" s="3">
        <v>0</v>
      </c>
      <c r="K29" s="3">
        <v>1</v>
      </c>
      <c r="L29" s="3">
        <v>1</v>
      </c>
      <c r="M29" s="3">
        <v>1</v>
      </c>
      <c r="N29" s="3">
        <v>1</v>
      </c>
      <c r="O29" s="3">
        <v>2</v>
      </c>
      <c r="P29" s="3">
        <v>2</v>
      </c>
      <c r="Q29" s="3">
        <v>3</v>
      </c>
      <c r="R29" s="3">
        <v>4</v>
      </c>
      <c r="S29" s="3">
        <v>5</v>
      </c>
      <c r="T29" s="3">
        <v>6</v>
      </c>
    </row>
    <row r="30" spans="5:33" hidden="1" x14ac:dyDescent="0.3">
      <c r="F30" s="10"/>
      <c r="G30" s="12" t="s">
        <v>51</v>
      </c>
      <c r="H30" s="3">
        <v>6</v>
      </c>
      <c r="I30" s="3">
        <v>9</v>
      </c>
      <c r="J30" s="3">
        <v>10</v>
      </c>
      <c r="K30" s="3">
        <v>14</v>
      </c>
      <c r="L30" s="3">
        <v>17</v>
      </c>
      <c r="M30" s="3">
        <v>22</v>
      </c>
      <c r="N30" s="3">
        <v>0</v>
      </c>
      <c r="O30" s="3">
        <v>30</v>
      </c>
      <c r="P30" s="3">
        <v>0</v>
      </c>
      <c r="Q30" s="3">
        <v>16</v>
      </c>
      <c r="R30" s="3">
        <v>22</v>
      </c>
      <c r="S30" s="3">
        <v>29</v>
      </c>
      <c r="T30" s="3">
        <v>36</v>
      </c>
    </row>
    <row r="31" spans="5:33" hidden="1" x14ac:dyDescent="0.3">
      <c r="F31" s="10"/>
      <c r="G31" s="12" t="s">
        <v>52</v>
      </c>
      <c r="H31" s="3">
        <v>5</v>
      </c>
      <c r="I31" s="3">
        <v>7</v>
      </c>
      <c r="J31" s="3">
        <v>9</v>
      </c>
      <c r="K31" s="3">
        <v>11</v>
      </c>
      <c r="L31" s="3">
        <v>14</v>
      </c>
      <c r="M31" s="3">
        <v>16</v>
      </c>
      <c r="N31" s="3">
        <v>19</v>
      </c>
      <c r="O31" s="3">
        <v>22</v>
      </c>
      <c r="P31" s="3">
        <v>27</v>
      </c>
      <c r="Q31" s="3">
        <v>32</v>
      </c>
      <c r="R31" s="3">
        <v>45</v>
      </c>
      <c r="S31" s="3">
        <v>55</v>
      </c>
      <c r="T31" s="3">
        <v>65</v>
      </c>
    </row>
    <row r="32" spans="5:33" hidden="1" x14ac:dyDescent="0.3">
      <c r="F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6:20" hidden="1" x14ac:dyDescent="0.3">
      <c r="F33" s="10"/>
      <c r="G33" t="s">
        <v>53</v>
      </c>
    </row>
    <row r="34" spans="6:20" hidden="1" x14ac:dyDescent="0.3">
      <c r="F34" s="10"/>
      <c r="G34" s="12"/>
      <c r="H34" s="2" t="s">
        <v>32</v>
      </c>
      <c r="I34" s="2" t="s">
        <v>33</v>
      </c>
      <c r="J34" s="2" t="s">
        <v>34</v>
      </c>
      <c r="K34" s="2" t="s">
        <v>35</v>
      </c>
      <c r="L34" s="2" t="s">
        <v>36</v>
      </c>
      <c r="M34" s="2" t="s">
        <v>37</v>
      </c>
      <c r="N34" s="2" t="s">
        <v>38</v>
      </c>
      <c r="O34" s="2" t="s">
        <v>39</v>
      </c>
      <c r="P34" s="2" t="s">
        <v>40</v>
      </c>
      <c r="Q34" s="2" t="s">
        <v>41</v>
      </c>
      <c r="R34" s="2" t="s">
        <v>42</v>
      </c>
      <c r="S34" s="2" t="s">
        <v>43</v>
      </c>
      <c r="T34" s="2" t="s">
        <v>44</v>
      </c>
    </row>
    <row r="35" spans="6:20" hidden="1" x14ac:dyDescent="0.3">
      <c r="F35" s="10"/>
      <c r="G35" s="13" t="s">
        <v>54</v>
      </c>
      <c r="H35" s="3">
        <v>1.097</v>
      </c>
      <c r="I35" s="3">
        <v>1.4419999999999999</v>
      </c>
      <c r="J35" s="3">
        <v>1.6819999999999999</v>
      </c>
      <c r="K35" s="3">
        <v>2.157</v>
      </c>
      <c r="L35" s="3">
        <v>2.6349999999999998</v>
      </c>
      <c r="M35" s="3">
        <v>3.26</v>
      </c>
      <c r="N35" s="3">
        <v>3.76</v>
      </c>
      <c r="O35" s="3">
        <v>4.26</v>
      </c>
      <c r="P35" s="3">
        <v>5.2949999999999999</v>
      </c>
      <c r="Q35" s="3">
        <v>6.3570000000000002</v>
      </c>
      <c r="R35" s="3">
        <v>8.2490000000000006</v>
      </c>
      <c r="S35" s="3">
        <v>10.37</v>
      </c>
      <c r="T35" s="3">
        <v>12.09</v>
      </c>
    </row>
    <row r="36" spans="6:20" hidden="1" x14ac:dyDescent="0.3">
      <c r="F36" s="10"/>
      <c r="G36" s="13" t="s">
        <v>55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8.0709999999999997</v>
      </c>
      <c r="S36" s="3">
        <v>10.14</v>
      </c>
      <c r="T36" s="3">
        <v>0</v>
      </c>
    </row>
    <row r="37" spans="6:20" hidden="1" x14ac:dyDescent="0.3">
      <c r="F37" s="10"/>
      <c r="G37" s="13" t="s">
        <v>31</v>
      </c>
      <c r="H37" s="3">
        <v>1.0489999999999999</v>
      </c>
      <c r="I37" s="3">
        <v>1.38</v>
      </c>
      <c r="J37" s="3">
        <v>1.61</v>
      </c>
      <c r="K37" s="3">
        <v>2.0670000000000002</v>
      </c>
      <c r="L37" s="3">
        <v>2.4689999999999999</v>
      </c>
      <c r="M37" s="3">
        <v>3.0680000000000001</v>
      </c>
      <c r="N37" s="3">
        <v>3.548</v>
      </c>
      <c r="O37" s="3">
        <v>4.0259999999999998</v>
      </c>
      <c r="P37" s="3">
        <v>5.0469999999999997</v>
      </c>
      <c r="Q37" s="3">
        <v>6.0650000000000004</v>
      </c>
      <c r="R37" s="3">
        <v>7.9809999999999999</v>
      </c>
      <c r="S37" s="3">
        <v>10.02</v>
      </c>
      <c r="T37" s="3">
        <v>11.938000000000001</v>
      </c>
    </row>
    <row r="38" spans="6:20" hidden="1" x14ac:dyDescent="0.3">
      <c r="F38" s="10"/>
      <c r="G38" s="13" t="s">
        <v>60</v>
      </c>
      <c r="H38" s="3">
        <v>0.95699999999999996</v>
      </c>
      <c r="I38" s="3">
        <v>1.278</v>
      </c>
      <c r="J38" s="3">
        <v>1.5</v>
      </c>
      <c r="K38" s="3">
        <v>1.9390000000000001</v>
      </c>
      <c r="L38" s="3">
        <v>2.323</v>
      </c>
      <c r="M38" s="3">
        <v>2.9</v>
      </c>
      <c r="N38" s="3">
        <v>3.3639999999999999</v>
      </c>
      <c r="O38" s="3">
        <v>3.8260000000000001</v>
      </c>
      <c r="P38" s="3">
        <v>4.8129999999999997</v>
      </c>
      <c r="Q38" s="3">
        <v>5.7610000000000001</v>
      </c>
      <c r="R38" s="3">
        <v>7.625</v>
      </c>
      <c r="S38" s="3">
        <v>9.5619999999999994</v>
      </c>
      <c r="T38" s="3">
        <v>11.374000000000001</v>
      </c>
    </row>
    <row r="39" spans="6:20" ht="16.2" hidden="1" customHeight="1" x14ac:dyDescent="0.3">
      <c r="F39" s="10"/>
      <c r="G39" s="13" t="s">
        <v>56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3.28</v>
      </c>
      <c r="N39" s="3">
        <v>0</v>
      </c>
      <c r="O39" s="3">
        <v>4.0999999999999996</v>
      </c>
      <c r="P39" s="3">
        <v>0</v>
      </c>
      <c r="Q39" s="3">
        <v>6.16</v>
      </c>
      <c r="R39" s="3">
        <v>8.27</v>
      </c>
      <c r="S39" s="3">
        <v>10.28</v>
      </c>
      <c r="T39" s="3">
        <v>12.34</v>
      </c>
    </row>
    <row r="40" spans="6:20" hidden="1" x14ac:dyDescent="0.3">
      <c r="F40" s="10"/>
    </row>
    <row r="41" spans="6:20" hidden="1" x14ac:dyDescent="0.3">
      <c r="F41" s="10"/>
      <c r="G41" t="s">
        <v>57</v>
      </c>
    </row>
    <row r="42" spans="6:20" hidden="1" x14ac:dyDescent="0.3">
      <c r="G42" s="12"/>
      <c r="H42" s="2" t="s">
        <v>32</v>
      </c>
      <c r="I42" s="2" t="s">
        <v>33</v>
      </c>
      <c r="J42" s="2" t="s">
        <v>34</v>
      </c>
      <c r="K42" s="2" t="s">
        <v>35</v>
      </c>
      <c r="L42" s="2" t="s">
        <v>36</v>
      </c>
      <c r="M42" s="2" t="s">
        <v>37</v>
      </c>
      <c r="N42" s="2" t="s">
        <v>38</v>
      </c>
      <c r="O42" s="2" t="s">
        <v>39</v>
      </c>
      <c r="P42" s="2" t="s">
        <v>40</v>
      </c>
      <c r="Q42" s="2" t="s">
        <v>41</v>
      </c>
      <c r="R42" s="2" t="s">
        <v>42</v>
      </c>
      <c r="S42" s="2" t="s">
        <v>43</v>
      </c>
      <c r="T42" s="2" t="s">
        <v>44</v>
      </c>
    </row>
    <row r="43" spans="6:20" hidden="1" x14ac:dyDescent="0.3">
      <c r="G43" s="13" t="s">
        <v>54</v>
      </c>
      <c r="H43" s="15">
        <f>(H35/H$37)^4.87</f>
        <v>1.2434537854216257</v>
      </c>
      <c r="I43" s="15">
        <f t="shared" ref="I43:T43" si="8">(I35/I$37)^4.87</f>
        <v>1.2386530240975568</v>
      </c>
      <c r="J43" s="15">
        <f t="shared" si="8"/>
        <v>1.2374582692078278</v>
      </c>
      <c r="K43" s="15">
        <f t="shared" si="8"/>
        <v>1.2306713361848083</v>
      </c>
      <c r="L43" s="15">
        <f t="shared" si="8"/>
        <v>1.3728525958418156</v>
      </c>
      <c r="M43" s="15">
        <f t="shared" si="8"/>
        <v>1.3439531580126947</v>
      </c>
      <c r="N43" s="15">
        <f t="shared" si="8"/>
        <v>1.3266141291332769</v>
      </c>
      <c r="O43" s="15">
        <f t="shared" si="8"/>
        <v>1.3167080327371348</v>
      </c>
      <c r="P43" s="15">
        <f t="shared" si="8"/>
        <v>1.2631503675689564</v>
      </c>
      <c r="Q43" s="15">
        <f t="shared" si="8"/>
        <v>1.2573385995160629</v>
      </c>
      <c r="R43" s="15">
        <f t="shared" si="8"/>
        <v>1.1745060140294572</v>
      </c>
      <c r="S43" s="15">
        <f t="shared" si="8"/>
        <v>1.1819979947193944</v>
      </c>
      <c r="T43" s="15">
        <f t="shared" si="8"/>
        <v>1.0635534411633483</v>
      </c>
    </row>
    <row r="44" spans="6:20" hidden="1" x14ac:dyDescent="0.3">
      <c r="G44" s="13" t="s">
        <v>55</v>
      </c>
      <c r="H44" s="15">
        <f>(H36/H$37)^4.87</f>
        <v>0</v>
      </c>
      <c r="I44" s="15">
        <f t="shared" ref="I44:T44" si="9">(I36/I$37)^4.87</f>
        <v>0</v>
      </c>
      <c r="J44" s="15">
        <f t="shared" si="9"/>
        <v>0</v>
      </c>
      <c r="K44" s="15">
        <f t="shared" si="9"/>
        <v>0</v>
      </c>
      <c r="L44" s="15">
        <f t="shared" si="9"/>
        <v>0</v>
      </c>
      <c r="M44" s="15">
        <f t="shared" si="9"/>
        <v>0</v>
      </c>
      <c r="N44" s="15">
        <f t="shared" si="9"/>
        <v>0</v>
      </c>
      <c r="O44" s="15">
        <f t="shared" si="9"/>
        <v>0</v>
      </c>
      <c r="P44" s="15">
        <f t="shared" si="9"/>
        <v>0</v>
      </c>
      <c r="Q44" s="15">
        <f t="shared" si="9"/>
        <v>0</v>
      </c>
      <c r="R44" s="15">
        <f t="shared" si="9"/>
        <v>1.0561292669676514</v>
      </c>
      <c r="S44" s="15">
        <f t="shared" si="9"/>
        <v>1.0596904903024127</v>
      </c>
      <c r="T44" s="15">
        <f t="shared" si="9"/>
        <v>0</v>
      </c>
    </row>
    <row r="45" spans="6:20" hidden="1" x14ac:dyDescent="0.3">
      <c r="G45" s="13" t="s">
        <v>31</v>
      </c>
      <c r="H45" s="15">
        <f>(H37/H$37)^4.87</f>
        <v>1</v>
      </c>
      <c r="I45" s="15">
        <f t="shared" ref="I45:T45" si="10">(I37/I$37)^4.87</f>
        <v>1</v>
      </c>
      <c r="J45" s="15">
        <f t="shared" si="10"/>
        <v>1</v>
      </c>
      <c r="K45" s="15">
        <f t="shared" si="10"/>
        <v>1</v>
      </c>
      <c r="L45" s="15">
        <f t="shared" si="10"/>
        <v>1</v>
      </c>
      <c r="M45" s="15">
        <f t="shared" si="10"/>
        <v>1</v>
      </c>
      <c r="N45" s="15">
        <f t="shared" si="10"/>
        <v>1</v>
      </c>
      <c r="O45" s="15">
        <f t="shared" si="10"/>
        <v>1</v>
      </c>
      <c r="P45" s="15">
        <f t="shared" si="10"/>
        <v>1</v>
      </c>
      <c r="Q45" s="15">
        <f t="shared" si="10"/>
        <v>1</v>
      </c>
      <c r="R45" s="15">
        <f t="shared" si="10"/>
        <v>1</v>
      </c>
      <c r="S45" s="15">
        <f t="shared" si="10"/>
        <v>1</v>
      </c>
      <c r="T45" s="15">
        <f t="shared" si="10"/>
        <v>1</v>
      </c>
    </row>
    <row r="46" spans="6:20" hidden="1" x14ac:dyDescent="0.3">
      <c r="G46" s="13" t="s">
        <v>60</v>
      </c>
      <c r="H46" s="15">
        <f>(H38/H$37)^4.87</f>
        <v>0.63953528311503915</v>
      </c>
      <c r="I46" s="15">
        <f t="shared" ref="I46:T46" si="11">(I38/I$37)^4.87</f>
        <v>0.68800898093385676</v>
      </c>
      <c r="J46" s="15">
        <f t="shared" si="11"/>
        <v>0.70847155048860655</v>
      </c>
      <c r="K46" s="15">
        <f t="shared" si="11"/>
        <v>0.73248006416483902</v>
      </c>
      <c r="L46" s="15">
        <f t="shared" si="11"/>
        <v>0.74315934581514564</v>
      </c>
      <c r="M46" s="15">
        <f t="shared" si="11"/>
        <v>0.76013839506022662</v>
      </c>
      <c r="N46" s="15">
        <f t="shared" si="11"/>
        <v>0.77155780865443335</v>
      </c>
      <c r="O46" s="15">
        <f t="shared" si="11"/>
        <v>0.7802481009826524</v>
      </c>
      <c r="P46" s="15">
        <f t="shared" si="11"/>
        <v>0.79358427262321418</v>
      </c>
      <c r="Q46" s="15">
        <f t="shared" si="11"/>
        <v>0.77846417487183173</v>
      </c>
      <c r="R46" s="15">
        <f t="shared" si="11"/>
        <v>0.80073526614572665</v>
      </c>
      <c r="S46" s="15">
        <f t="shared" si="11"/>
        <v>0.79624470411155912</v>
      </c>
      <c r="T46" s="15">
        <f t="shared" si="11"/>
        <v>0.79002463220785712</v>
      </c>
    </row>
    <row r="47" spans="6:20" hidden="1" x14ac:dyDescent="0.3">
      <c r="G47" s="13" t="s">
        <v>56</v>
      </c>
      <c r="H47" s="15">
        <f>(H39/H$37)^4.87</f>
        <v>0</v>
      </c>
      <c r="I47" s="15">
        <f t="shared" ref="I47:T47" si="12">(I39/I$37)^4.87</f>
        <v>0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1.3845863273330137</v>
      </c>
      <c r="N47" s="15">
        <f t="shared" si="12"/>
        <v>0</v>
      </c>
      <c r="O47" s="15">
        <f t="shared" si="12"/>
        <v>1.0927532822521857</v>
      </c>
      <c r="P47" s="15">
        <f t="shared" si="12"/>
        <v>0</v>
      </c>
      <c r="Q47" s="15">
        <f t="shared" si="12"/>
        <v>1.0786288866502431</v>
      </c>
      <c r="R47" s="15">
        <f t="shared" si="12"/>
        <v>1.1891392876435671</v>
      </c>
      <c r="S47" s="15">
        <f t="shared" si="12"/>
        <v>1.1328715346432614</v>
      </c>
      <c r="T47" s="15">
        <f t="shared" si="12"/>
        <v>1.1750275779529133</v>
      </c>
    </row>
    <row r="48" spans="6:20" hidden="1" x14ac:dyDescent="0.3"/>
    <row r="49" spans="5:20" hidden="1" x14ac:dyDescent="0.3">
      <c r="G49" t="s">
        <v>74</v>
      </c>
    </row>
    <row r="50" spans="5:20" hidden="1" x14ac:dyDescent="0.3">
      <c r="F50" s="10"/>
      <c r="G50" s="12"/>
      <c r="H50" s="2" t="s">
        <v>32</v>
      </c>
      <c r="I50" s="2" t="s">
        <v>33</v>
      </c>
      <c r="J50" s="2" t="s">
        <v>34</v>
      </c>
      <c r="K50" s="2" t="s">
        <v>35</v>
      </c>
      <c r="L50" s="2" t="s">
        <v>36</v>
      </c>
      <c r="M50" s="2" t="s">
        <v>37</v>
      </c>
      <c r="N50" s="2" t="s">
        <v>38</v>
      </c>
      <c r="O50" s="2" t="s">
        <v>39</v>
      </c>
      <c r="P50" s="2" t="s">
        <v>40</v>
      </c>
      <c r="Q50" s="2" t="s">
        <v>41</v>
      </c>
      <c r="R50" s="2" t="s">
        <v>42</v>
      </c>
      <c r="S50" s="2" t="s">
        <v>43</v>
      </c>
      <c r="T50" s="2" t="s">
        <v>44</v>
      </c>
    </row>
    <row r="51" spans="5:20" hidden="1" x14ac:dyDescent="0.3">
      <c r="F51" s="10"/>
      <c r="G51" s="12" t="s">
        <v>45</v>
      </c>
      <c r="H51" s="15">
        <f>IF($D$8="SCH 10",H$43*H24,IF($D$8="SCH 30",H$44*H24,IF($D$8="SCH 40",H$45*H24,IF($D$8="SCH 80",H$46*H24,IF($D$8="Cement Lined Ductile 52",H$47*H24)))))</f>
        <v>1</v>
      </c>
      <c r="I51" s="15">
        <f t="shared" ref="I51:T51" si="13">IF($D$8="SCH 10",I$43*I24,IF($D$8="SCH 30",I$44*I24,IF($D$8="SCH 40",I$45*I24,IF($D$8="SCH 80",I$46*I24,IF($D$8="Cement Lined Ductile 52",I$47*I24)))))</f>
        <v>1</v>
      </c>
      <c r="J51" s="15">
        <f t="shared" si="13"/>
        <v>2</v>
      </c>
      <c r="K51" s="15">
        <f t="shared" si="13"/>
        <v>2</v>
      </c>
      <c r="L51" s="15">
        <f t="shared" si="13"/>
        <v>3</v>
      </c>
      <c r="M51" s="15">
        <f t="shared" si="13"/>
        <v>3</v>
      </c>
      <c r="N51" s="15">
        <f t="shared" si="13"/>
        <v>3</v>
      </c>
      <c r="O51" s="15">
        <f t="shared" si="13"/>
        <v>4</v>
      </c>
      <c r="P51" s="15">
        <f t="shared" si="13"/>
        <v>5</v>
      </c>
      <c r="Q51" s="15">
        <f t="shared" si="13"/>
        <v>7</v>
      </c>
      <c r="R51" s="15">
        <f t="shared" si="13"/>
        <v>9</v>
      </c>
      <c r="S51" s="15">
        <f t="shared" si="13"/>
        <v>11</v>
      </c>
      <c r="T51" s="15">
        <f t="shared" si="13"/>
        <v>13</v>
      </c>
    </row>
    <row r="52" spans="5:20" hidden="1" x14ac:dyDescent="0.3">
      <c r="F52" s="10"/>
      <c r="G52" s="12" t="s">
        <v>46</v>
      </c>
      <c r="H52" s="15">
        <f t="shared" ref="H52:T58" si="14">IF($D$8="SCH 10",H$43*H25,IF($D$8="SCH 30",H$44*H25,IF($D$8="SCH 40",H$45*H25,IF($D$8="SCH 80",H$46*H25,IF($D$8="Cement Lined Ductile 52",H$47*H25)))))</f>
        <v>2</v>
      </c>
      <c r="I52" s="15">
        <f t="shared" si="14"/>
        <v>3</v>
      </c>
      <c r="J52" s="15">
        <f t="shared" si="14"/>
        <v>4</v>
      </c>
      <c r="K52" s="15">
        <f t="shared" si="14"/>
        <v>5</v>
      </c>
      <c r="L52" s="15">
        <f t="shared" si="14"/>
        <v>6</v>
      </c>
      <c r="M52" s="15">
        <f t="shared" si="14"/>
        <v>7</v>
      </c>
      <c r="N52" s="15">
        <f t="shared" si="14"/>
        <v>8</v>
      </c>
      <c r="O52" s="15">
        <f t="shared" si="14"/>
        <v>10</v>
      </c>
      <c r="P52" s="15">
        <f t="shared" si="14"/>
        <v>12</v>
      </c>
      <c r="Q52" s="15">
        <f t="shared" si="14"/>
        <v>14</v>
      </c>
      <c r="R52" s="15">
        <f t="shared" si="14"/>
        <v>18</v>
      </c>
      <c r="S52" s="15">
        <f t="shared" si="14"/>
        <v>22</v>
      </c>
      <c r="T52" s="15">
        <f t="shared" si="14"/>
        <v>27</v>
      </c>
    </row>
    <row r="53" spans="5:20" hidden="1" x14ac:dyDescent="0.3">
      <c r="F53" s="10"/>
      <c r="G53" s="12" t="s">
        <v>47</v>
      </c>
      <c r="H53" s="15">
        <f t="shared" si="14"/>
        <v>2</v>
      </c>
      <c r="I53" s="15">
        <f t="shared" si="14"/>
        <v>2</v>
      </c>
      <c r="J53" s="15">
        <f t="shared" si="14"/>
        <v>2</v>
      </c>
      <c r="K53" s="15">
        <f t="shared" si="14"/>
        <v>3</v>
      </c>
      <c r="L53" s="15">
        <f t="shared" si="14"/>
        <v>4</v>
      </c>
      <c r="M53" s="15">
        <f t="shared" si="14"/>
        <v>5</v>
      </c>
      <c r="N53" s="15">
        <f t="shared" si="14"/>
        <v>5</v>
      </c>
      <c r="O53" s="15">
        <f t="shared" si="14"/>
        <v>6</v>
      </c>
      <c r="P53" s="15">
        <f t="shared" si="14"/>
        <v>8</v>
      </c>
      <c r="Q53" s="15">
        <f t="shared" si="14"/>
        <v>9</v>
      </c>
      <c r="R53" s="15">
        <f t="shared" si="14"/>
        <v>13</v>
      </c>
      <c r="S53" s="15">
        <f t="shared" si="14"/>
        <v>16</v>
      </c>
      <c r="T53" s="15">
        <f t="shared" si="14"/>
        <v>18</v>
      </c>
    </row>
    <row r="54" spans="5:20" hidden="1" x14ac:dyDescent="0.3">
      <c r="F54" s="10"/>
      <c r="G54" s="12" t="s">
        <v>48</v>
      </c>
      <c r="H54" s="15">
        <f t="shared" si="14"/>
        <v>5</v>
      </c>
      <c r="I54" s="15">
        <f t="shared" si="14"/>
        <v>6</v>
      </c>
      <c r="J54" s="15">
        <f t="shared" si="14"/>
        <v>8</v>
      </c>
      <c r="K54" s="15">
        <f t="shared" si="14"/>
        <v>10</v>
      </c>
      <c r="L54" s="15">
        <f t="shared" si="14"/>
        <v>12</v>
      </c>
      <c r="M54" s="15">
        <f t="shared" si="14"/>
        <v>15</v>
      </c>
      <c r="N54" s="15">
        <f t="shared" si="14"/>
        <v>17</v>
      </c>
      <c r="O54" s="15">
        <f t="shared" si="14"/>
        <v>20</v>
      </c>
      <c r="P54" s="15">
        <f t="shared" si="14"/>
        <v>25</v>
      </c>
      <c r="Q54" s="15">
        <f t="shared" si="14"/>
        <v>30</v>
      </c>
      <c r="R54" s="15">
        <f t="shared" si="14"/>
        <v>35</v>
      </c>
      <c r="S54" s="15">
        <f t="shared" si="14"/>
        <v>50</v>
      </c>
      <c r="T54" s="15">
        <f t="shared" si="14"/>
        <v>60</v>
      </c>
    </row>
    <row r="55" spans="5:20" hidden="1" x14ac:dyDescent="0.3">
      <c r="F55" s="10"/>
      <c r="G55" s="12" t="s">
        <v>49</v>
      </c>
      <c r="H55" s="15">
        <f t="shared" si="14"/>
        <v>0</v>
      </c>
      <c r="I55" s="15">
        <f t="shared" si="14"/>
        <v>0</v>
      </c>
      <c r="J55" s="15">
        <f t="shared" si="14"/>
        <v>0</v>
      </c>
      <c r="K55" s="15">
        <f t="shared" si="14"/>
        <v>6</v>
      </c>
      <c r="L55" s="15">
        <f t="shared" si="14"/>
        <v>7</v>
      </c>
      <c r="M55" s="15">
        <f t="shared" si="14"/>
        <v>10</v>
      </c>
      <c r="N55" s="15">
        <f t="shared" si="14"/>
        <v>0</v>
      </c>
      <c r="O55" s="15">
        <f t="shared" si="14"/>
        <v>12</v>
      </c>
      <c r="P55" s="15">
        <f t="shared" si="14"/>
        <v>9</v>
      </c>
      <c r="Q55" s="15">
        <f t="shared" si="14"/>
        <v>10</v>
      </c>
      <c r="R55" s="15">
        <f t="shared" si="14"/>
        <v>12</v>
      </c>
      <c r="S55" s="15">
        <f t="shared" si="14"/>
        <v>19</v>
      </c>
      <c r="T55" s="15">
        <f t="shared" si="14"/>
        <v>21</v>
      </c>
    </row>
    <row r="56" spans="5:20" hidden="1" x14ac:dyDescent="0.3">
      <c r="F56" s="10"/>
      <c r="G56" s="12" t="s">
        <v>50</v>
      </c>
      <c r="H56" s="15">
        <f t="shared" si="14"/>
        <v>0</v>
      </c>
      <c r="I56" s="15">
        <f t="shared" si="14"/>
        <v>0</v>
      </c>
      <c r="J56" s="15">
        <f t="shared" si="14"/>
        <v>0</v>
      </c>
      <c r="K56" s="15">
        <f t="shared" si="14"/>
        <v>1</v>
      </c>
      <c r="L56" s="15">
        <f t="shared" si="14"/>
        <v>1</v>
      </c>
      <c r="M56" s="15">
        <f t="shared" si="14"/>
        <v>1</v>
      </c>
      <c r="N56" s="15">
        <f t="shared" si="14"/>
        <v>1</v>
      </c>
      <c r="O56" s="15">
        <f t="shared" si="14"/>
        <v>2</v>
      </c>
      <c r="P56" s="15">
        <f t="shared" si="14"/>
        <v>2</v>
      </c>
      <c r="Q56" s="15">
        <f t="shared" si="14"/>
        <v>3</v>
      </c>
      <c r="R56" s="15">
        <f t="shared" si="14"/>
        <v>4</v>
      </c>
      <c r="S56" s="15">
        <f t="shared" si="14"/>
        <v>5</v>
      </c>
      <c r="T56" s="15">
        <f t="shared" si="14"/>
        <v>6</v>
      </c>
    </row>
    <row r="57" spans="5:20" hidden="1" x14ac:dyDescent="0.3">
      <c r="F57" s="10"/>
      <c r="G57" s="12" t="s">
        <v>51</v>
      </c>
      <c r="H57" s="15">
        <f t="shared" si="14"/>
        <v>6</v>
      </c>
      <c r="I57" s="15">
        <f t="shared" si="14"/>
        <v>9</v>
      </c>
      <c r="J57" s="15">
        <f t="shared" si="14"/>
        <v>10</v>
      </c>
      <c r="K57" s="15">
        <f t="shared" si="14"/>
        <v>14</v>
      </c>
      <c r="L57" s="15">
        <f t="shared" si="14"/>
        <v>17</v>
      </c>
      <c r="M57" s="15">
        <f t="shared" si="14"/>
        <v>22</v>
      </c>
      <c r="N57" s="15">
        <f t="shared" si="14"/>
        <v>0</v>
      </c>
      <c r="O57" s="15">
        <f t="shared" si="14"/>
        <v>30</v>
      </c>
      <c r="P57" s="15">
        <f t="shared" si="14"/>
        <v>0</v>
      </c>
      <c r="Q57" s="15">
        <f t="shared" si="14"/>
        <v>16</v>
      </c>
      <c r="R57" s="15">
        <f t="shared" si="14"/>
        <v>22</v>
      </c>
      <c r="S57" s="15">
        <f t="shared" si="14"/>
        <v>29</v>
      </c>
      <c r="T57" s="15">
        <f t="shared" si="14"/>
        <v>36</v>
      </c>
    </row>
    <row r="58" spans="5:20" hidden="1" x14ac:dyDescent="0.3">
      <c r="F58" s="10"/>
      <c r="G58" s="12" t="s">
        <v>52</v>
      </c>
      <c r="H58" s="15">
        <f t="shared" si="14"/>
        <v>5</v>
      </c>
      <c r="I58" s="15">
        <f t="shared" si="14"/>
        <v>7</v>
      </c>
      <c r="J58" s="15">
        <f t="shared" si="14"/>
        <v>9</v>
      </c>
      <c r="K58" s="15">
        <f t="shared" si="14"/>
        <v>11</v>
      </c>
      <c r="L58" s="15">
        <f t="shared" si="14"/>
        <v>14</v>
      </c>
      <c r="M58" s="15">
        <f t="shared" si="14"/>
        <v>16</v>
      </c>
      <c r="N58" s="15">
        <f t="shared" si="14"/>
        <v>19</v>
      </c>
      <c r="O58" s="15">
        <f t="shared" si="14"/>
        <v>22</v>
      </c>
      <c r="P58" s="15">
        <f t="shared" si="14"/>
        <v>27</v>
      </c>
      <c r="Q58" s="15">
        <f t="shared" si="14"/>
        <v>32</v>
      </c>
      <c r="R58" s="15">
        <f t="shared" si="14"/>
        <v>45</v>
      </c>
      <c r="S58" s="15">
        <f t="shared" si="14"/>
        <v>55</v>
      </c>
      <c r="T58" s="15">
        <f t="shared" si="14"/>
        <v>65</v>
      </c>
    </row>
    <row r="59" spans="5:20" hidden="1" x14ac:dyDescent="0.3">
      <c r="F59" s="10"/>
    </row>
    <row r="60" spans="5:20" hidden="1" x14ac:dyDescent="0.3">
      <c r="E60" s="16">
        <f>IF(D7=100,0.713,IF(D7=120,1,IF(D7=130,1.16,IF(D7=140,1.33,IF(D7=150,1.51)))))</f>
        <v>1</v>
      </c>
      <c r="F60" s="17"/>
      <c r="G60" s="16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5:20" hidden="1" x14ac:dyDescent="0.3">
      <c r="F61" s="10"/>
      <c r="G61" s="12"/>
      <c r="H61" s="2" t="s">
        <v>32</v>
      </c>
      <c r="I61" s="2" t="s">
        <v>33</v>
      </c>
      <c r="J61" s="2" t="s">
        <v>34</v>
      </c>
      <c r="K61" s="2" t="s">
        <v>35</v>
      </c>
      <c r="L61" s="2" t="s">
        <v>36</v>
      </c>
      <c r="M61" s="2" t="s">
        <v>37</v>
      </c>
      <c r="N61" s="2" t="s">
        <v>38</v>
      </c>
      <c r="O61" s="2" t="s">
        <v>39</v>
      </c>
      <c r="P61" s="2" t="s">
        <v>40</v>
      </c>
      <c r="Q61" s="2" t="s">
        <v>41</v>
      </c>
      <c r="R61" s="2" t="s">
        <v>42</v>
      </c>
      <c r="S61" s="2" t="s">
        <v>43</v>
      </c>
      <c r="T61" s="2" t="s">
        <v>44</v>
      </c>
    </row>
    <row r="62" spans="5:20" hidden="1" x14ac:dyDescent="0.3">
      <c r="F62" s="10"/>
      <c r="G62" s="12" t="s">
        <v>45</v>
      </c>
      <c r="H62" s="18">
        <f>ROUNDUP(H51*$E$60,1)</f>
        <v>1</v>
      </c>
      <c r="I62" s="18">
        <f t="shared" ref="I62:T62" si="15">ROUNDUP(I51*$E$60,1)</f>
        <v>1</v>
      </c>
      <c r="J62" s="18">
        <f t="shared" si="15"/>
        <v>2</v>
      </c>
      <c r="K62" s="18">
        <f t="shared" si="15"/>
        <v>2</v>
      </c>
      <c r="L62" s="18">
        <f t="shared" si="15"/>
        <v>3</v>
      </c>
      <c r="M62" s="18">
        <f t="shared" si="15"/>
        <v>3</v>
      </c>
      <c r="N62" s="18">
        <f t="shared" si="15"/>
        <v>3</v>
      </c>
      <c r="O62" s="18">
        <f t="shared" si="15"/>
        <v>4</v>
      </c>
      <c r="P62" s="18">
        <f t="shared" si="15"/>
        <v>5</v>
      </c>
      <c r="Q62" s="18">
        <f t="shared" si="15"/>
        <v>7</v>
      </c>
      <c r="R62" s="18">
        <f t="shared" si="15"/>
        <v>9</v>
      </c>
      <c r="S62" s="18">
        <f t="shared" si="15"/>
        <v>11</v>
      </c>
      <c r="T62" s="18">
        <f t="shared" si="15"/>
        <v>13</v>
      </c>
    </row>
    <row r="63" spans="5:20" hidden="1" x14ac:dyDescent="0.3">
      <c r="F63" s="10"/>
      <c r="G63" s="12" t="s">
        <v>46</v>
      </c>
      <c r="H63" s="18">
        <f t="shared" ref="H63:T69" si="16">ROUNDUP(H52*$E$60,1)</f>
        <v>2</v>
      </c>
      <c r="I63" s="18">
        <f t="shared" si="16"/>
        <v>3</v>
      </c>
      <c r="J63" s="18">
        <f t="shared" si="16"/>
        <v>4</v>
      </c>
      <c r="K63" s="18">
        <f t="shared" si="16"/>
        <v>5</v>
      </c>
      <c r="L63" s="18">
        <f t="shared" si="16"/>
        <v>6</v>
      </c>
      <c r="M63" s="18">
        <f t="shared" si="16"/>
        <v>7</v>
      </c>
      <c r="N63" s="18">
        <f t="shared" si="16"/>
        <v>8</v>
      </c>
      <c r="O63" s="18">
        <f t="shared" si="16"/>
        <v>10</v>
      </c>
      <c r="P63" s="18">
        <f t="shared" si="16"/>
        <v>12</v>
      </c>
      <c r="Q63" s="18">
        <f t="shared" si="16"/>
        <v>14</v>
      </c>
      <c r="R63" s="18">
        <f t="shared" si="16"/>
        <v>18</v>
      </c>
      <c r="S63" s="18">
        <f t="shared" si="16"/>
        <v>22</v>
      </c>
      <c r="T63" s="18">
        <f t="shared" si="16"/>
        <v>27</v>
      </c>
    </row>
    <row r="64" spans="5:20" hidden="1" x14ac:dyDescent="0.3">
      <c r="F64" s="10"/>
      <c r="G64" s="12" t="s">
        <v>47</v>
      </c>
      <c r="H64" s="18">
        <f t="shared" si="16"/>
        <v>2</v>
      </c>
      <c r="I64" s="18">
        <f t="shared" si="16"/>
        <v>2</v>
      </c>
      <c r="J64" s="18">
        <f t="shared" si="16"/>
        <v>2</v>
      </c>
      <c r="K64" s="18">
        <f t="shared" si="16"/>
        <v>3</v>
      </c>
      <c r="L64" s="18">
        <f t="shared" si="16"/>
        <v>4</v>
      </c>
      <c r="M64" s="18">
        <f t="shared" si="16"/>
        <v>5</v>
      </c>
      <c r="N64" s="18">
        <f t="shared" si="16"/>
        <v>5</v>
      </c>
      <c r="O64" s="18">
        <f t="shared" si="16"/>
        <v>6</v>
      </c>
      <c r="P64" s="18">
        <f t="shared" si="16"/>
        <v>8</v>
      </c>
      <c r="Q64" s="18">
        <f t="shared" si="16"/>
        <v>9</v>
      </c>
      <c r="R64" s="18">
        <f t="shared" si="16"/>
        <v>13</v>
      </c>
      <c r="S64" s="18">
        <f t="shared" si="16"/>
        <v>16</v>
      </c>
      <c r="T64" s="18">
        <f t="shared" si="16"/>
        <v>18</v>
      </c>
    </row>
    <row r="65" spans="6:20" hidden="1" x14ac:dyDescent="0.3">
      <c r="F65" s="10"/>
      <c r="G65" s="12" t="s">
        <v>48</v>
      </c>
      <c r="H65" s="18">
        <f t="shared" si="16"/>
        <v>5</v>
      </c>
      <c r="I65" s="18">
        <f t="shared" si="16"/>
        <v>6</v>
      </c>
      <c r="J65" s="18">
        <f t="shared" si="16"/>
        <v>8</v>
      </c>
      <c r="K65" s="18">
        <f t="shared" si="16"/>
        <v>10</v>
      </c>
      <c r="L65" s="18">
        <f t="shared" si="16"/>
        <v>12</v>
      </c>
      <c r="M65" s="18">
        <f t="shared" si="16"/>
        <v>15</v>
      </c>
      <c r="N65" s="18">
        <f t="shared" si="16"/>
        <v>17</v>
      </c>
      <c r="O65" s="18">
        <f t="shared" si="16"/>
        <v>20</v>
      </c>
      <c r="P65" s="18">
        <f t="shared" si="16"/>
        <v>25</v>
      </c>
      <c r="Q65" s="18">
        <f t="shared" si="16"/>
        <v>30</v>
      </c>
      <c r="R65" s="18">
        <f t="shared" si="16"/>
        <v>35</v>
      </c>
      <c r="S65" s="18">
        <f t="shared" si="16"/>
        <v>50</v>
      </c>
      <c r="T65" s="18">
        <f t="shared" si="16"/>
        <v>60</v>
      </c>
    </row>
    <row r="66" spans="6:20" hidden="1" x14ac:dyDescent="0.3">
      <c r="F66" s="10"/>
      <c r="G66" s="12" t="s">
        <v>49</v>
      </c>
      <c r="H66" s="18">
        <f t="shared" si="16"/>
        <v>0</v>
      </c>
      <c r="I66" s="18">
        <f t="shared" si="16"/>
        <v>0</v>
      </c>
      <c r="J66" s="18">
        <f t="shared" si="16"/>
        <v>0</v>
      </c>
      <c r="K66" s="18">
        <f t="shared" si="16"/>
        <v>6</v>
      </c>
      <c r="L66" s="18">
        <f t="shared" si="16"/>
        <v>7</v>
      </c>
      <c r="M66" s="18">
        <f t="shared" si="16"/>
        <v>10</v>
      </c>
      <c r="N66" s="18">
        <f t="shared" si="16"/>
        <v>0</v>
      </c>
      <c r="O66" s="18">
        <f t="shared" si="16"/>
        <v>12</v>
      </c>
      <c r="P66" s="18">
        <f t="shared" si="16"/>
        <v>9</v>
      </c>
      <c r="Q66" s="18">
        <f t="shared" si="16"/>
        <v>10</v>
      </c>
      <c r="R66" s="18">
        <f t="shared" si="16"/>
        <v>12</v>
      </c>
      <c r="S66" s="18">
        <f t="shared" si="16"/>
        <v>19</v>
      </c>
      <c r="T66" s="18">
        <f t="shared" si="16"/>
        <v>21</v>
      </c>
    </row>
    <row r="67" spans="6:20" hidden="1" x14ac:dyDescent="0.3">
      <c r="F67" s="10"/>
      <c r="G67" s="12" t="s">
        <v>50</v>
      </c>
      <c r="H67" s="18">
        <f t="shared" si="16"/>
        <v>0</v>
      </c>
      <c r="I67" s="18">
        <f t="shared" si="16"/>
        <v>0</v>
      </c>
      <c r="J67" s="18">
        <f t="shared" si="16"/>
        <v>0</v>
      </c>
      <c r="K67" s="18">
        <f t="shared" si="16"/>
        <v>1</v>
      </c>
      <c r="L67" s="18">
        <f t="shared" si="16"/>
        <v>1</v>
      </c>
      <c r="M67" s="18">
        <f t="shared" si="16"/>
        <v>1</v>
      </c>
      <c r="N67" s="18">
        <f t="shared" si="16"/>
        <v>1</v>
      </c>
      <c r="O67" s="18">
        <f t="shared" si="16"/>
        <v>2</v>
      </c>
      <c r="P67" s="18">
        <f t="shared" si="16"/>
        <v>2</v>
      </c>
      <c r="Q67" s="18">
        <f t="shared" si="16"/>
        <v>3</v>
      </c>
      <c r="R67" s="18">
        <f t="shared" si="16"/>
        <v>4</v>
      </c>
      <c r="S67" s="18">
        <f t="shared" si="16"/>
        <v>5</v>
      </c>
      <c r="T67" s="18">
        <f t="shared" si="16"/>
        <v>6</v>
      </c>
    </row>
    <row r="68" spans="6:20" hidden="1" x14ac:dyDescent="0.3">
      <c r="F68" s="10"/>
      <c r="G68" s="12" t="s">
        <v>51</v>
      </c>
      <c r="H68" s="18">
        <f t="shared" si="16"/>
        <v>6</v>
      </c>
      <c r="I68" s="18">
        <f t="shared" si="16"/>
        <v>9</v>
      </c>
      <c r="J68" s="18">
        <f t="shared" si="16"/>
        <v>10</v>
      </c>
      <c r="K68" s="18">
        <f t="shared" si="16"/>
        <v>14</v>
      </c>
      <c r="L68" s="18">
        <f t="shared" si="16"/>
        <v>17</v>
      </c>
      <c r="M68" s="18">
        <f t="shared" si="16"/>
        <v>22</v>
      </c>
      <c r="N68" s="18">
        <f t="shared" si="16"/>
        <v>0</v>
      </c>
      <c r="O68" s="18">
        <f t="shared" si="16"/>
        <v>30</v>
      </c>
      <c r="P68" s="18">
        <f t="shared" si="16"/>
        <v>0</v>
      </c>
      <c r="Q68" s="18">
        <f t="shared" si="16"/>
        <v>16</v>
      </c>
      <c r="R68" s="18">
        <f t="shared" si="16"/>
        <v>22</v>
      </c>
      <c r="S68" s="18">
        <f t="shared" si="16"/>
        <v>29</v>
      </c>
      <c r="T68" s="18">
        <f t="shared" si="16"/>
        <v>36</v>
      </c>
    </row>
    <row r="69" spans="6:20" hidden="1" x14ac:dyDescent="0.3">
      <c r="F69" s="10"/>
      <c r="G69" s="12" t="s">
        <v>52</v>
      </c>
      <c r="H69" s="18">
        <f t="shared" si="16"/>
        <v>5</v>
      </c>
      <c r="I69" s="18">
        <f t="shared" si="16"/>
        <v>7</v>
      </c>
      <c r="J69" s="18">
        <f t="shared" si="16"/>
        <v>9</v>
      </c>
      <c r="K69" s="18">
        <f t="shared" si="16"/>
        <v>11</v>
      </c>
      <c r="L69" s="18">
        <f t="shared" si="16"/>
        <v>14</v>
      </c>
      <c r="M69" s="18">
        <f t="shared" si="16"/>
        <v>16</v>
      </c>
      <c r="N69" s="18">
        <f t="shared" si="16"/>
        <v>19</v>
      </c>
      <c r="O69" s="18">
        <f t="shared" si="16"/>
        <v>22</v>
      </c>
      <c r="P69" s="18">
        <f t="shared" si="16"/>
        <v>27</v>
      </c>
      <c r="Q69" s="18">
        <f t="shared" si="16"/>
        <v>32</v>
      </c>
      <c r="R69" s="18">
        <f t="shared" si="16"/>
        <v>45</v>
      </c>
      <c r="S69" s="18">
        <f t="shared" si="16"/>
        <v>55</v>
      </c>
      <c r="T69" s="18">
        <f t="shared" si="16"/>
        <v>65</v>
      </c>
    </row>
    <row r="70" spans="6:20" hidden="1" x14ac:dyDescent="0.3"/>
    <row r="71" spans="6:20" hidden="1" x14ac:dyDescent="0.3"/>
  </sheetData>
  <sheetProtection algorithmName="SHA-512" hashValue="I3c5gSOJb8aNJVLnaEuhdvobDc0HulFx76Z5gmn3C4bbhGflXsSk5WowS/TV3civuP4kawcyfvAnzw01Gi0twA==" saltValue="ia3u1vlpX04cB4JRRkzAsw==" spinCount="100000" sheet="1" selectLockedCells="1"/>
  <phoneticPr fontId="2" type="noConversion"/>
  <dataValidations count="2">
    <dataValidation type="list" allowBlank="1" showInputMessage="1" showErrorMessage="1" sqref="D7" xr:uid="{44DB4841-B17B-4BF1-A9A1-C58B1C8B4A6E}">
      <formula1>"100,120,130,140,150"</formula1>
    </dataValidation>
    <dataValidation type="list" allowBlank="1" showInputMessage="1" showErrorMessage="1" sqref="D8" xr:uid="{6B64A7EE-0600-43D3-B8CB-93BA76B1C048}">
      <formula1>"SCH 10, SCH 30, SCH 40, SCH 80,Cement Lined Ductile 52"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5F9A5-CF0D-4E45-842C-9831406E9DC8}">
  <dimension ref="B7:O19"/>
  <sheetViews>
    <sheetView showGridLines="0" topLeftCell="A2" zoomScale="130" zoomScaleNormal="130" workbookViewId="0">
      <selection activeCell="C18" sqref="C18"/>
    </sheetView>
  </sheetViews>
  <sheetFormatPr defaultRowHeight="14.4" x14ac:dyDescent="0.3"/>
  <cols>
    <col min="2" max="2" width="20.109375" bestFit="1" customWidth="1"/>
  </cols>
  <sheetData>
    <row r="7" spans="2:15" ht="15" thickBot="1" x14ac:dyDescent="0.35"/>
    <row r="8" spans="2:15" x14ac:dyDescent="0.3">
      <c r="B8" s="132" t="s">
        <v>58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4"/>
    </row>
    <row r="9" spans="2:15" x14ac:dyDescent="0.3">
      <c r="B9" s="19" t="s">
        <v>14</v>
      </c>
      <c r="C9" s="20" t="s">
        <v>32</v>
      </c>
      <c r="D9" s="20" t="s">
        <v>33</v>
      </c>
      <c r="E9" s="20" t="s">
        <v>34</v>
      </c>
      <c r="F9" s="20" t="s">
        <v>35</v>
      </c>
      <c r="G9" s="20" t="s">
        <v>36</v>
      </c>
      <c r="H9" s="20" t="s">
        <v>37</v>
      </c>
      <c r="I9" s="20" t="s">
        <v>38</v>
      </c>
      <c r="J9" s="20" t="s">
        <v>39</v>
      </c>
      <c r="K9" s="20" t="s">
        <v>40</v>
      </c>
      <c r="L9" s="20" t="s">
        <v>41</v>
      </c>
      <c r="M9" s="20" t="s">
        <v>42</v>
      </c>
      <c r="N9" s="20" t="s">
        <v>43</v>
      </c>
      <c r="O9" s="21" t="s">
        <v>44</v>
      </c>
    </row>
    <row r="10" spans="2:15" x14ac:dyDescent="0.3">
      <c r="B10" s="22" t="s">
        <v>54</v>
      </c>
      <c r="C10" s="23">
        <v>1.24</v>
      </c>
      <c r="D10" s="23">
        <v>1.24</v>
      </c>
      <c r="E10" s="23">
        <v>1.24</v>
      </c>
      <c r="F10" s="23">
        <v>1.23</v>
      </c>
      <c r="G10" s="23">
        <v>1.37</v>
      </c>
      <c r="H10" s="23">
        <v>1.34</v>
      </c>
      <c r="I10" s="23">
        <v>1.33</v>
      </c>
      <c r="J10" s="23">
        <v>1.32</v>
      </c>
      <c r="K10" s="23">
        <v>1.26</v>
      </c>
      <c r="L10" s="23">
        <v>1.26</v>
      </c>
      <c r="M10" s="23">
        <v>1.17</v>
      </c>
      <c r="N10" s="23">
        <v>1.18</v>
      </c>
      <c r="O10" s="24">
        <v>1.06</v>
      </c>
    </row>
    <row r="11" spans="2:15" x14ac:dyDescent="0.3">
      <c r="B11" s="22" t="s">
        <v>55</v>
      </c>
      <c r="C11" s="25" t="s">
        <v>59</v>
      </c>
      <c r="D11" s="25" t="s">
        <v>59</v>
      </c>
      <c r="E11" s="25" t="s">
        <v>59</v>
      </c>
      <c r="F11" s="25" t="s">
        <v>59</v>
      </c>
      <c r="G11" s="25" t="s">
        <v>59</v>
      </c>
      <c r="H11" s="25" t="s">
        <v>59</v>
      </c>
      <c r="I11" s="25" t="s">
        <v>59</v>
      </c>
      <c r="J11" s="25" t="s">
        <v>59</v>
      </c>
      <c r="K11" s="25" t="s">
        <v>59</v>
      </c>
      <c r="L11" s="25" t="s">
        <v>59</v>
      </c>
      <c r="M11" s="23">
        <v>1.06</v>
      </c>
      <c r="N11" s="23">
        <v>1.06</v>
      </c>
      <c r="O11" s="26" t="s">
        <v>59</v>
      </c>
    </row>
    <row r="12" spans="2:15" x14ac:dyDescent="0.3">
      <c r="B12" s="22" t="s">
        <v>31</v>
      </c>
      <c r="C12" s="25">
        <v>1</v>
      </c>
      <c r="D12" s="25">
        <v>1</v>
      </c>
      <c r="E12" s="25">
        <v>1</v>
      </c>
      <c r="F12" s="25">
        <v>1</v>
      </c>
      <c r="G12" s="25">
        <v>1</v>
      </c>
      <c r="H12" s="25">
        <v>1</v>
      </c>
      <c r="I12" s="25">
        <v>1</v>
      </c>
      <c r="J12" s="25">
        <v>1</v>
      </c>
      <c r="K12" s="25">
        <v>1</v>
      </c>
      <c r="L12" s="25">
        <v>1</v>
      </c>
      <c r="M12" s="25">
        <v>1</v>
      </c>
      <c r="N12" s="25">
        <v>1</v>
      </c>
      <c r="O12" s="25">
        <v>1</v>
      </c>
    </row>
    <row r="13" spans="2:15" x14ac:dyDescent="0.3">
      <c r="B13" s="22" t="s">
        <v>60</v>
      </c>
      <c r="C13" s="23">
        <v>0.64</v>
      </c>
      <c r="D13" s="23">
        <v>0.69</v>
      </c>
      <c r="E13" s="23">
        <v>0.71</v>
      </c>
      <c r="F13" s="23">
        <v>0.73</v>
      </c>
      <c r="G13" s="23">
        <v>0.74</v>
      </c>
      <c r="H13" s="23">
        <v>0.76</v>
      </c>
      <c r="I13" s="23">
        <v>0.77</v>
      </c>
      <c r="J13" s="23">
        <v>0.78</v>
      </c>
      <c r="K13" s="23">
        <v>0.79</v>
      </c>
      <c r="L13" s="23">
        <v>0.78</v>
      </c>
      <c r="M13" s="23">
        <v>0.8</v>
      </c>
      <c r="N13" s="23">
        <v>0.8</v>
      </c>
      <c r="O13" s="24">
        <v>0.79</v>
      </c>
    </row>
    <row r="14" spans="2:15" ht="15" thickBot="1" x14ac:dyDescent="0.35">
      <c r="B14" s="27" t="s">
        <v>56</v>
      </c>
      <c r="C14" s="28" t="s">
        <v>59</v>
      </c>
      <c r="D14" s="28" t="s">
        <v>59</v>
      </c>
      <c r="E14" s="28" t="s">
        <v>59</v>
      </c>
      <c r="F14" s="28" t="s">
        <v>59</v>
      </c>
      <c r="G14" s="28" t="s">
        <v>59</v>
      </c>
      <c r="H14" s="29">
        <v>1.38</v>
      </c>
      <c r="I14" s="28" t="s">
        <v>59</v>
      </c>
      <c r="J14" s="29">
        <v>1.0900000000000001</v>
      </c>
      <c r="K14" s="29" t="s">
        <v>59</v>
      </c>
      <c r="L14" s="29">
        <v>1.08</v>
      </c>
      <c r="M14" s="29">
        <v>1.19</v>
      </c>
      <c r="N14" s="29">
        <v>1.1299999999999999</v>
      </c>
      <c r="O14" s="30">
        <v>1.18</v>
      </c>
    </row>
    <row r="17" spans="2:3" ht="15" thickBot="1" x14ac:dyDescent="0.35"/>
    <row r="18" spans="2:3" ht="15" thickBot="1" x14ac:dyDescent="0.35">
      <c r="B18" s="31" t="s">
        <v>30</v>
      </c>
      <c r="C18" s="32">
        <v>100</v>
      </c>
    </row>
    <row r="19" spans="2:3" ht="15" thickBot="1" x14ac:dyDescent="0.35">
      <c r="B19" s="33" t="s">
        <v>61</v>
      </c>
      <c r="C19" s="34">
        <f>IF(C18=100,0.713,IF(C18=120,1,IF(C18=130,1.16,IF(C18=140,1.33,IF(C18=150,1.51)))))</f>
        <v>0.71299999999999997</v>
      </c>
    </row>
  </sheetData>
  <sheetProtection algorithmName="SHA-512" hashValue="jagjEPXmD2VA+s4djChaDm7RUj0qwGPX620Sz4nrx/6PZ98CeM+oRj3WKIUSi96ePghrEJr7hS1KXlcj4qvsRQ==" saltValue="/i8V70oAS2F1ISbtyx9pNQ==" spinCount="100000" sheet="1" selectLockedCells="1"/>
  <mergeCells count="1">
    <mergeCell ref="B8:O8"/>
  </mergeCells>
  <phoneticPr fontId="2" type="noConversion"/>
  <dataValidations count="1">
    <dataValidation type="list" allowBlank="1" showInputMessage="1" showErrorMessage="1" sqref="C18" xr:uid="{4C307899-668F-4523-AEA9-B5991A5F8CB6}">
      <formula1>"100,120,130,140,150"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Hydraulic Calculation</vt:lpstr>
      <vt:lpstr>Equivalent Length</vt:lpstr>
      <vt:lpstr>Multipliers</vt:lpstr>
      <vt:lpstr>CMNTLND52</vt:lpstr>
      <vt:lpstr>Schedule10</vt:lpstr>
      <vt:lpstr>Schedule30</vt:lpstr>
      <vt:lpstr>Schedule40</vt:lpstr>
      <vt:lpstr>Schedule80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Hesam Tavoosi</dc:creator>
  <cp:lastModifiedBy>Hesam Tavoosi</cp:lastModifiedBy>
  <dcterms:created xsi:type="dcterms:W3CDTF">2022-03-18T12:35:07Z</dcterms:created>
  <dcterms:modified xsi:type="dcterms:W3CDTF">2022-05-18T11:10:15Z</dcterms:modified>
</cp:coreProperties>
</file>